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0" windowWidth="21840" windowHeight="13380" tabRatio="914" activeTab="2"/>
  </bookViews>
  <sheets>
    <sheet name="Hypothèses" sheetId="1" r:id="rId1"/>
    <sheet name="Spez" sheetId="2" state="hidden" r:id="rId2"/>
    <sheet name="lire" sheetId="3" r:id="rId3"/>
    <sheet name="Calcul des machines" sheetId="4" r:id="rId4"/>
    <sheet name="résumé" sheetId="5" r:id="rId5"/>
    <sheet name="Maschinenliste" sheetId="6" r:id="rId6"/>
    <sheet name="Preise_allg" sheetId="7" state="hidden" r:id="rId7"/>
    <sheet name="Grafik" sheetId="8" state="hidden" r:id="rId8"/>
    <sheet name="Acheter ou louer" sheetId="9" r:id="rId9"/>
    <sheet name="TracSharing" sheetId="10" r:id="rId10"/>
    <sheet name="Remarques" sheetId="11" r:id="rId11"/>
  </sheets>
  <definedNames>
    <definedName name="Code">'Maschinenliste'!$A$17:$A$966</definedName>
    <definedName name="_xlnm.Print_Area" localSheetId="8">'Acheter ou louer'!$A$1:$I$111</definedName>
    <definedName name="_xlnm.Print_Area" localSheetId="2">'lire'!$A$1:$J$51</definedName>
    <definedName name="_xlnm.Print_Area" localSheetId="5">'Maschinenliste'!$A:$Y</definedName>
    <definedName name="_xlnm.Print_Area" localSheetId="4">'résumé'!$A$1:$O$98</definedName>
    <definedName name="_xlnm.Print_Area" localSheetId="9">'TracSharing'!$A$1:$G$152</definedName>
    <definedName name="_xlnm.Print_Titles" localSheetId="5">'Maschinenliste'!$5:$13</definedName>
  </definedNames>
  <calcPr fullCalcOnLoad="1"/>
</workbook>
</file>

<file path=xl/comments10.xml><?xml version="1.0" encoding="utf-8"?>
<comments xmlns="http://schemas.openxmlformats.org/spreadsheetml/2006/main">
  <authors>
    <author>Christian Gazzarin</author>
  </authors>
  <commentList>
    <comment ref="D119" authorId="0">
      <text>
        <r>
          <rPr>
            <b/>
            <sz val="9"/>
            <rFont val="Tahoma"/>
            <family val="2"/>
          </rPr>
          <t>valeurs actives annuelles:</t>
        </r>
        <r>
          <rPr>
            <sz val="9"/>
            <rFont val="Tahoma"/>
            <family val="2"/>
          </rPr>
          <t xml:space="preserve">
pris en compte de la part de financement initiale par associé (jusqu'a la fin de la durée d'amortissement)</t>
        </r>
      </text>
    </comment>
    <comment ref="B139" authorId="0">
      <text>
        <r>
          <rPr>
            <b/>
            <sz val="9"/>
            <rFont val="Tahoma"/>
            <family val="2"/>
          </rPr>
          <t>Valeur positiv:</t>
        </r>
        <r>
          <rPr>
            <sz val="9"/>
            <rFont val="Tahoma"/>
            <family val="2"/>
          </rPr>
          <t xml:space="preserve">
Montant de l'associé faut être payé au gérant de la machine.
</t>
        </r>
        <r>
          <rPr>
            <b/>
            <sz val="9"/>
            <rFont val="Tahoma"/>
            <family val="2"/>
          </rPr>
          <t>Valeur negative:</t>
        </r>
        <r>
          <rPr>
            <sz val="9"/>
            <rFont val="Tahoma"/>
            <family val="2"/>
          </rPr>
          <t xml:space="preserve">
le gérant de la machine faut rémunérer montant à l'associé  Maschinenverwalter muss den Betrag an den betreffenden Teilhaber vergüten.</t>
        </r>
      </text>
    </comment>
    <comment ref="C15" authorId="0">
      <text>
        <r>
          <rPr>
            <sz val="11"/>
            <rFont val="Tahoma"/>
            <family val="2"/>
          </rPr>
          <t>seulement le temps de travail au champ (sans temps de pannes, de preparation et de trajet (sauf pour les véhicules de transport)</t>
        </r>
      </text>
    </comment>
    <comment ref="B42"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44" authorId="0">
      <text>
        <r>
          <rPr>
            <b/>
            <sz val="8"/>
            <rFont val="Tahoma"/>
            <family val="2"/>
          </rPr>
          <t>la part du prix d'acquisition après la fin de l'amortissement.</t>
        </r>
      </text>
    </comment>
    <comment ref="B46" authorId="0">
      <text>
        <r>
          <rPr>
            <b/>
            <sz val="8"/>
            <rFont val="Tahoma"/>
            <family val="2"/>
          </rPr>
          <t xml:space="preserve">Le degré de charge du moteur définit la consommation de carburant. 
En fonction du travail effectué le degré de charge du moteur est entre 20% et 60%. </t>
        </r>
      </text>
    </comment>
    <comment ref="B47" authorId="0">
      <text>
        <r>
          <rPr>
            <b/>
            <sz val="8"/>
            <rFont val="Tahoma"/>
            <family val="2"/>
          </rPr>
          <t>Pour les machines d'occasion ou pour les machines qui sont déjà amortisées il faut élever le facteur de réparation.</t>
        </r>
      </text>
    </comment>
    <comment ref="B51" authorId="0">
      <text>
        <r>
          <rPr>
            <b/>
            <sz val="8"/>
            <rFont val="Tahoma"/>
            <family val="2"/>
          </rPr>
          <t>Suppléments pour temps de trajet, pour la préparation de la machine sur la ferme ou sur le champ et pour l'administration.</t>
        </r>
      </text>
    </comment>
    <comment ref="G46" authorId="0">
      <text>
        <r>
          <rPr>
            <b/>
            <sz val="8"/>
            <rFont val="Tahoma"/>
            <family val="2"/>
          </rPr>
          <t>Consommation de carburant calculée (Kontrollfeld)</t>
        </r>
      </text>
    </comment>
    <comment ref="D101" authorId="0">
      <text>
        <r>
          <rPr>
            <sz val="9"/>
            <rFont val="Tahoma"/>
            <family val="2"/>
          </rPr>
          <t>Par ex. nombre d'heure à Fr. 28.-</t>
        </r>
      </text>
    </comment>
    <comment ref="D102" authorId="0">
      <text>
        <r>
          <rPr>
            <sz val="9"/>
            <rFont val="Tahoma"/>
            <family val="2"/>
          </rPr>
          <t>produit de la location annuelle à charge de tiers</t>
        </r>
      </text>
    </comment>
    <comment ref="D130" authorId="0">
      <text>
        <r>
          <rPr>
            <b/>
            <sz val="9"/>
            <rFont val="Tahoma"/>
            <family val="2"/>
          </rPr>
          <t>vom Maschinenverwalter vorfinanziert.</t>
        </r>
      </text>
    </comment>
    <comment ref="F97" authorId="0">
      <text>
        <r>
          <rPr>
            <sz val="9"/>
            <rFont val="Tahoma"/>
            <family val="2"/>
          </rPr>
          <t>Indications personnelles vont être importées pour la calculation</t>
        </r>
      </text>
    </comment>
    <comment ref="F98" authorId="0">
      <text>
        <r>
          <rPr>
            <b/>
            <sz val="9"/>
            <rFont val="Tahoma"/>
            <family val="2"/>
          </rPr>
          <t>Indications personnelles vont être importées pour la calculation</t>
        </r>
      </text>
    </comment>
    <comment ref="F99" authorId="0">
      <text>
        <r>
          <rPr>
            <b/>
            <sz val="9"/>
            <rFont val="Tahoma"/>
            <family val="2"/>
          </rPr>
          <t>Indications personnelles vont être importées pour la calculation</t>
        </r>
      </text>
    </comment>
    <comment ref="F100" authorId="0">
      <text>
        <r>
          <rPr>
            <b/>
            <sz val="9"/>
            <rFont val="Tahoma"/>
            <family val="2"/>
          </rPr>
          <t>Indications personnelles vont être importées pour la calculation</t>
        </r>
      </text>
    </comment>
  </commentList>
</comments>
</file>

<file path=xl/comments4.xml><?xml version="1.0" encoding="utf-8"?>
<comments xmlns="http://schemas.openxmlformats.org/spreadsheetml/2006/main">
  <authors>
    <author>Christian Gazzarin</author>
  </authors>
  <commentList>
    <comment ref="G34" authorId="0">
      <text>
        <r>
          <rPr>
            <b/>
            <sz val="8"/>
            <rFont val="Tahoma"/>
            <family val="2"/>
          </rPr>
          <t>Consommation de carburant calculée (Kontrollfeld)</t>
        </r>
      </text>
    </comment>
    <comment ref="D89" authorId="0">
      <text>
        <r>
          <rPr>
            <b/>
            <sz val="8"/>
            <rFont val="Tahoma"/>
            <family val="2"/>
          </rPr>
          <t>ART: 1.79 Fr./l</t>
        </r>
      </text>
    </comment>
    <comment ref="L89" authorId="0">
      <text>
        <r>
          <rPr>
            <b/>
            <sz val="8"/>
            <rFont val="Tahoma"/>
            <family val="2"/>
          </rPr>
          <t>ART: 1.79 Fr./l</t>
        </r>
      </text>
    </comment>
    <comment ref="D90" authorId="0">
      <text>
        <r>
          <rPr>
            <b/>
            <sz val="8"/>
            <rFont val="Tahoma"/>
            <family val="2"/>
          </rPr>
          <t>ART: 1.60 Fr./l</t>
        </r>
      </text>
    </comment>
    <comment ref="L90" authorId="0">
      <text>
        <r>
          <rPr>
            <b/>
            <sz val="8"/>
            <rFont val="Tahoma"/>
            <family val="2"/>
          </rPr>
          <t>ART: 1.60 Fr./l</t>
        </r>
      </text>
    </comment>
    <comment ref="D149" authorId="0">
      <text>
        <r>
          <rPr>
            <b/>
            <sz val="8"/>
            <rFont val="Tahoma"/>
            <family val="2"/>
          </rPr>
          <t>ART: 1.79 Fr./l</t>
        </r>
      </text>
    </comment>
    <comment ref="L149" authorId="0">
      <text>
        <r>
          <rPr>
            <b/>
            <sz val="8"/>
            <rFont val="Tahoma"/>
            <family val="2"/>
          </rPr>
          <t>ART: 1.79 Fr./l</t>
        </r>
      </text>
    </comment>
    <comment ref="D150" authorId="0">
      <text>
        <r>
          <rPr>
            <b/>
            <sz val="8"/>
            <rFont val="Tahoma"/>
            <family val="2"/>
          </rPr>
          <t>ART: 1.60 Fr./l</t>
        </r>
      </text>
    </comment>
    <comment ref="L150" authorId="0">
      <text>
        <r>
          <rPr>
            <b/>
            <sz val="8"/>
            <rFont val="Tahoma"/>
            <family val="2"/>
          </rPr>
          <t>ART: 1.60 Fr./l</t>
        </r>
      </text>
    </comment>
    <comment ref="D209" authorId="0">
      <text>
        <r>
          <rPr>
            <b/>
            <sz val="8"/>
            <rFont val="Tahoma"/>
            <family val="2"/>
          </rPr>
          <t>ART: 1.79 Fr./l</t>
        </r>
      </text>
    </comment>
    <comment ref="L209" authorId="0">
      <text>
        <r>
          <rPr>
            <b/>
            <sz val="8"/>
            <rFont val="Tahoma"/>
            <family val="2"/>
          </rPr>
          <t>ART: 1.79 Fr./l</t>
        </r>
      </text>
    </comment>
    <comment ref="D210" authorId="0">
      <text>
        <r>
          <rPr>
            <b/>
            <sz val="8"/>
            <rFont val="Tahoma"/>
            <family val="2"/>
          </rPr>
          <t>ART: 1.60 Fr./l</t>
        </r>
      </text>
    </comment>
    <comment ref="L210" authorId="0">
      <text>
        <r>
          <rPr>
            <b/>
            <sz val="8"/>
            <rFont val="Tahoma"/>
            <family val="2"/>
          </rPr>
          <t>ART: 1.60 Fr./l</t>
        </r>
      </text>
    </comment>
    <comment ref="B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32" authorId="0">
      <text>
        <r>
          <rPr>
            <b/>
            <sz val="8"/>
            <rFont val="Tahoma"/>
            <family val="2"/>
          </rPr>
          <t>la part du prix d'acquisition après la fin de l'amortissement.</t>
        </r>
      </text>
    </comment>
    <comment ref="B34" authorId="0">
      <text>
        <r>
          <rPr>
            <b/>
            <sz val="8"/>
            <rFont val="Tahoma"/>
            <family val="2"/>
          </rPr>
          <t xml:space="preserve">Le degré de charge du moteur définit la consommation de carburant. 
En fonction du travail effectué le degré de charge du moteur est entre 20% et 60%. </t>
        </r>
      </text>
    </comment>
    <comment ref="B35" authorId="0">
      <text>
        <r>
          <rPr>
            <b/>
            <sz val="8"/>
            <rFont val="Tahoma"/>
            <family val="2"/>
          </rPr>
          <t>Pour les machines d'occasion ou pour les machines qui sont déjà amortisées il faut élever le facteur de réparation.</t>
        </r>
      </text>
    </comment>
    <comment ref="B38" authorId="0">
      <text>
        <r>
          <rPr>
            <b/>
            <sz val="8"/>
            <rFont val="Tahoma"/>
            <family val="2"/>
          </rPr>
          <t>Suppléments pour temps de trajet, pour la préparation de la machine sur la ferme ou sur le champ et pour l'administration.</t>
        </r>
      </text>
    </comment>
    <comment ref="C15" authorId="0">
      <text>
        <r>
          <rPr>
            <sz val="11"/>
            <rFont val="Tahoma"/>
            <family val="2"/>
          </rPr>
          <t>seulement le temps de travail au champ (sans temps de pannes, de preparation et de trajet (sauf pour les véhicules de transport)</t>
        </r>
      </text>
    </comment>
    <comment ref="N34" authorId="0">
      <text>
        <r>
          <rPr>
            <b/>
            <sz val="8"/>
            <rFont val="Tahoma"/>
            <family val="2"/>
          </rPr>
          <t>Consommation de carburant calculée (Kontrollfeld)</t>
        </r>
      </text>
    </comment>
    <comment ref="I30"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32" authorId="0">
      <text>
        <r>
          <rPr>
            <b/>
            <sz val="8"/>
            <rFont val="Tahoma"/>
            <family val="2"/>
          </rPr>
          <t>la part du prix d'acquisition après la fin de l'amortissement.</t>
        </r>
      </text>
    </comment>
    <comment ref="I34" authorId="0">
      <text>
        <r>
          <rPr>
            <b/>
            <sz val="8"/>
            <rFont val="Tahoma"/>
            <family val="2"/>
          </rPr>
          <t xml:space="preserve">Le degré de charge du moteur définit la consommation de carburant. 
En fonction du travail effectué le degré de charge du moteur est entre 20% et 60%. </t>
        </r>
      </text>
    </comment>
    <comment ref="I38" authorId="0">
      <text>
        <r>
          <rPr>
            <b/>
            <sz val="8"/>
            <rFont val="Tahoma"/>
            <family val="2"/>
          </rPr>
          <t>Suppléments pour temps de trajet, pour la préparation de la machine sur la ferme ou sur le champ et pour l'administration.</t>
        </r>
      </text>
    </comment>
    <comment ref="B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98" authorId="0">
      <text>
        <r>
          <rPr>
            <b/>
            <sz val="8"/>
            <rFont val="Tahoma"/>
            <family val="2"/>
          </rPr>
          <t>la part du prix d'acquisition après la fin de l'amortissement.</t>
        </r>
      </text>
    </comment>
    <comment ref="B100" authorId="0">
      <text>
        <r>
          <rPr>
            <b/>
            <sz val="8"/>
            <rFont val="Tahoma"/>
            <family val="2"/>
          </rPr>
          <t xml:space="preserve">Le degré de charge du moteur définit la consommation de carburant. 
En fonction du travail effectué le degré de charge du moteur est entre 20% et 60%. </t>
        </r>
      </text>
    </comment>
    <comment ref="B104" authorId="0">
      <text>
        <r>
          <rPr>
            <b/>
            <sz val="8"/>
            <rFont val="Tahoma"/>
            <family val="2"/>
          </rPr>
          <t>Suppléments pour temps de trajet, pour la préparation de la machine sur la ferme ou sur le champ et pour l'administration.</t>
        </r>
      </text>
    </comment>
    <comment ref="I9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98" authorId="0">
      <text>
        <r>
          <rPr>
            <b/>
            <sz val="8"/>
            <rFont val="Tahoma"/>
            <family val="2"/>
          </rPr>
          <t>la part du prix d'acquisition après la fin de l'amortissement.</t>
        </r>
      </text>
    </comment>
    <comment ref="I100" authorId="0">
      <text>
        <r>
          <rPr>
            <b/>
            <sz val="8"/>
            <rFont val="Tahoma"/>
            <family val="2"/>
          </rPr>
          <t xml:space="preserve">Le degré de charge du moteur définit la consommation de carburant. 
En fonction du travail effectué le degré de charge du moteur est entre 20% et 60%. </t>
        </r>
      </text>
    </comment>
    <comment ref="I104" authorId="0">
      <text>
        <r>
          <rPr>
            <b/>
            <sz val="8"/>
            <rFont val="Tahoma"/>
            <family val="2"/>
          </rPr>
          <t>Suppléments pour temps de trajet, pour la préparation de la machine sur la ferme ou sur le champ et pour l'administration.</t>
        </r>
      </text>
    </comment>
    <comment ref="B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158" authorId="0">
      <text>
        <r>
          <rPr>
            <b/>
            <sz val="8"/>
            <rFont val="Tahoma"/>
            <family val="2"/>
          </rPr>
          <t>la part du prix d'acquisition après la fin de l'amortissement.</t>
        </r>
      </text>
    </comment>
    <comment ref="B160" authorId="0">
      <text>
        <r>
          <rPr>
            <b/>
            <sz val="8"/>
            <rFont val="Tahoma"/>
            <family val="2"/>
          </rPr>
          <t xml:space="preserve">Le degré de charge du moteur définit la consommation de carburant. 
En fonction du travail effectué le degré de charge du moteur est entre 20% et 60%. </t>
        </r>
      </text>
    </comment>
    <comment ref="B164" authorId="0">
      <text>
        <r>
          <rPr>
            <b/>
            <sz val="8"/>
            <rFont val="Tahoma"/>
            <family val="2"/>
          </rPr>
          <t>Suppléments pour temps de trajet, pour la préparation de la machine sur la ferme ou sur le champ et pour l'administration.</t>
        </r>
      </text>
    </comment>
    <comment ref="I15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158" authorId="0">
      <text>
        <r>
          <rPr>
            <b/>
            <sz val="8"/>
            <rFont val="Tahoma"/>
            <family val="2"/>
          </rPr>
          <t>la part du prix d'acquisition après la fin de l'amortissement.</t>
        </r>
      </text>
    </comment>
    <comment ref="I160" authorId="0">
      <text>
        <r>
          <rPr>
            <b/>
            <sz val="8"/>
            <rFont val="Tahoma"/>
            <family val="2"/>
          </rPr>
          <t xml:space="preserve">Le degré de charge du moteur définit la consommation de carburant. 
En fonction du travail effectué le degré de charge du moteur est entre 20% et 60%. </t>
        </r>
      </text>
    </comment>
    <comment ref="I164" authorId="0">
      <text>
        <r>
          <rPr>
            <b/>
            <sz val="8"/>
            <rFont val="Tahoma"/>
            <family val="2"/>
          </rPr>
          <t>Suppléments pour temps de trajet, pour la préparation de la machine sur la ferme ou sur le champ et pour l'administration.</t>
        </r>
      </text>
    </comment>
    <comment ref="B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C218" authorId="0">
      <text>
        <r>
          <rPr>
            <b/>
            <sz val="8"/>
            <rFont val="Tahoma"/>
            <family val="2"/>
          </rPr>
          <t>la part du prix d'acquisition après la fin de l'amortissement.</t>
        </r>
      </text>
    </comment>
    <comment ref="B220" authorId="0">
      <text>
        <r>
          <rPr>
            <b/>
            <sz val="8"/>
            <rFont val="Tahoma"/>
            <family val="2"/>
          </rPr>
          <t xml:space="preserve">Le degré de charge du moteur définit la consommation de carburant. 
En fonction du travail effectué le degré de charge du moteur est entre 20% et 60%. </t>
        </r>
      </text>
    </comment>
    <comment ref="B224" authorId="0">
      <text>
        <r>
          <rPr>
            <b/>
            <sz val="8"/>
            <rFont val="Tahoma"/>
            <family val="2"/>
          </rPr>
          <t>Suppléments pour temps de trajet, pour la préparation de la machine sur la ferme ou sur le champ et pour l'administration.</t>
        </r>
      </text>
    </comment>
    <comment ref="I216" authorId="0">
      <text>
        <r>
          <rPr>
            <b/>
            <sz val="8"/>
            <rFont val="Tahoma"/>
            <family val="2"/>
          </rPr>
          <t xml:space="preserve">Après combien d'unités de travail (h, ha, ch, bal etc.) la machine est abîmée? (durée d'utilisation technique à partir de laquelle les coûts de réparation sont disproportionnés). </t>
        </r>
      </text>
    </comment>
    <comment ref="J218" authorId="0">
      <text>
        <r>
          <rPr>
            <b/>
            <sz val="8"/>
            <rFont val="Tahoma"/>
            <family val="2"/>
          </rPr>
          <t>la part du prix d'acquisition après la fin de l'amortissement.</t>
        </r>
      </text>
    </comment>
    <comment ref="I220" authorId="0">
      <text>
        <r>
          <rPr>
            <b/>
            <sz val="8"/>
            <rFont val="Tahoma"/>
            <family val="2"/>
          </rPr>
          <t xml:space="preserve">Le degré de charge du moteur définit la consommation de carburant. 
En fonction du travail effectué le degré de charge du moteur est entre 20% et 60%. </t>
        </r>
      </text>
    </comment>
    <comment ref="I224" authorId="0">
      <text>
        <r>
          <rPr>
            <b/>
            <sz val="8"/>
            <rFont val="Tahoma"/>
            <family val="2"/>
          </rPr>
          <t>Suppléments pour temps de trajet, pour la préparation de la machine sur la ferme ou sur le champ et pour l'administration.</t>
        </r>
      </text>
    </comment>
    <comment ref="G22" authorId="0">
      <text>
        <r>
          <rPr>
            <b/>
            <sz val="9"/>
            <rFont val="Tahoma"/>
            <family val="2"/>
          </rPr>
          <t xml:space="preserve">Pour reconstituer l'état initial (default) il faut assimiler les données de colonne F (vert) à colonne D. </t>
        </r>
      </text>
    </comment>
    <comment ref="N22" authorId="0">
      <text>
        <r>
          <rPr>
            <b/>
            <sz val="9"/>
            <rFont val="Tahoma"/>
            <family val="2"/>
          </rPr>
          <t xml:space="preserve">Pour reconstituer l'état initial (default) il faut assimiler les données de colonne M (vert) à colonne K. </t>
        </r>
      </text>
    </comment>
    <comment ref="G88" authorId="0">
      <text>
        <r>
          <rPr>
            <b/>
            <sz val="9"/>
            <rFont val="Tahoma"/>
            <family val="2"/>
          </rPr>
          <t xml:space="preserve">Pour reconstituer l'état initial (default) il faut assimiler les données de colonne F (vert) à colonne D. </t>
        </r>
      </text>
    </comment>
    <comment ref="G148" authorId="0">
      <text>
        <r>
          <rPr>
            <b/>
            <sz val="9"/>
            <rFont val="Tahoma"/>
            <family val="2"/>
          </rPr>
          <t xml:space="preserve">Pour reconstituer l'état initial (default) il faut assimiler les données de colonne F (vert) à colonne D. </t>
        </r>
      </text>
    </comment>
    <comment ref="G208" authorId="0">
      <text>
        <r>
          <rPr>
            <b/>
            <sz val="9"/>
            <rFont val="Tahoma"/>
            <family val="2"/>
          </rPr>
          <t xml:space="preserve">Pour reconstituer l'état initial (default) il faut assimiler les données de colonne F (vert) à colonne D. </t>
        </r>
      </text>
    </comment>
    <comment ref="N88" authorId="0">
      <text>
        <r>
          <rPr>
            <b/>
            <sz val="9"/>
            <rFont val="Tahoma"/>
            <family val="2"/>
          </rPr>
          <t xml:space="preserve">Pour reconstituer l'état initial (default) il faut assimiler les données de colonne M (vert) à colonne K. </t>
        </r>
      </text>
    </comment>
    <comment ref="N148" authorId="0">
      <text>
        <r>
          <rPr>
            <b/>
            <sz val="9"/>
            <rFont val="Tahoma"/>
            <family val="2"/>
          </rPr>
          <t xml:space="preserve">Pour reconstituer l'état initial (default) il faut assimiler les données de colonne M (vert) à colonne K. </t>
        </r>
      </text>
    </comment>
    <comment ref="N208" authorId="0">
      <text>
        <r>
          <rPr>
            <b/>
            <sz val="9"/>
            <rFont val="Tahoma"/>
            <family val="2"/>
          </rPr>
          <t xml:space="preserve">Pour reconstituer l'état initial (default) il faut assimiler les données de colonne M (vert) à colonne K. </t>
        </r>
      </text>
    </comment>
    <comment ref="G35" authorId="0">
      <text>
        <r>
          <rPr>
            <b/>
            <sz val="9"/>
            <rFont val="Tahoma"/>
            <family val="2"/>
          </rPr>
          <t>Coûts par an pour réparations, service et  maintenance</t>
        </r>
        <r>
          <rPr>
            <sz val="9"/>
            <rFont val="Tahoma"/>
            <family val="2"/>
          </rPr>
          <t xml:space="preserve">
(contrôle)</t>
        </r>
      </text>
    </comment>
    <comment ref="N35" authorId="0">
      <text>
        <r>
          <rPr>
            <b/>
            <sz val="9"/>
            <rFont val="Tahoma"/>
            <family val="2"/>
          </rPr>
          <t>Coûts par an pour réparations, service et  maintenance</t>
        </r>
        <r>
          <rPr>
            <sz val="9"/>
            <rFont val="Tahoma"/>
            <family val="2"/>
          </rPr>
          <t xml:space="preserve">
(contrôle)</t>
        </r>
      </text>
    </comment>
    <comment ref="G101" authorId="0">
      <text>
        <r>
          <rPr>
            <b/>
            <sz val="9"/>
            <rFont val="Tahoma"/>
            <family val="2"/>
          </rPr>
          <t>Coûts par an pour réparations, service et  maintenance</t>
        </r>
        <r>
          <rPr>
            <sz val="9"/>
            <rFont val="Tahoma"/>
            <family val="2"/>
          </rPr>
          <t xml:space="preserve">
(contrôle)</t>
        </r>
      </text>
    </comment>
    <comment ref="N101" authorId="0">
      <text>
        <r>
          <rPr>
            <b/>
            <sz val="9"/>
            <rFont val="Tahoma"/>
            <family val="2"/>
          </rPr>
          <t>Coûts par an pour réparations, service et  maintenance</t>
        </r>
        <r>
          <rPr>
            <sz val="9"/>
            <rFont val="Tahoma"/>
            <family val="2"/>
          </rPr>
          <t xml:space="preserve">
(contrôle)</t>
        </r>
      </text>
    </comment>
    <comment ref="G161" authorId="0">
      <text>
        <r>
          <rPr>
            <b/>
            <sz val="9"/>
            <rFont val="Tahoma"/>
            <family val="2"/>
          </rPr>
          <t>Coûts par an pour réparations, service et  maintenance</t>
        </r>
        <r>
          <rPr>
            <sz val="9"/>
            <rFont val="Tahoma"/>
            <family val="2"/>
          </rPr>
          <t xml:space="preserve">
(contrôle)</t>
        </r>
      </text>
    </comment>
    <comment ref="N161" authorId="0">
      <text>
        <r>
          <rPr>
            <b/>
            <sz val="9"/>
            <rFont val="Tahoma"/>
            <family val="2"/>
          </rPr>
          <t>Coûts par an pour réparations, service et  maintenance</t>
        </r>
        <r>
          <rPr>
            <sz val="9"/>
            <rFont val="Tahoma"/>
            <family val="2"/>
          </rPr>
          <t xml:space="preserve">
(contrôle)</t>
        </r>
      </text>
    </comment>
    <comment ref="G221" authorId="0">
      <text>
        <r>
          <rPr>
            <b/>
            <sz val="9"/>
            <rFont val="Tahoma"/>
            <family val="2"/>
          </rPr>
          <t>Coûts par an pour réparations, service et  maintenance</t>
        </r>
        <r>
          <rPr>
            <sz val="9"/>
            <rFont val="Tahoma"/>
            <family val="2"/>
          </rPr>
          <t xml:space="preserve">
(contrôle)</t>
        </r>
      </text>
    </comment>
    <comment ref="N221" authorId="0">
      <text>
        <r>
          <rPr>
            <b/>
            <sz val="9"/>
            <rFont val="Tahoma"/>
            <family val="2"/>
          </rPr>
          <t>Coûts par an pour réparations, service et  maintenance</t>
        </r>
        <r>
          <rPr>
            <sz val="9"/>
            <rFont val="Tahoma"/>
            <family val="2"/>
          </rPr>
          <t xml:space="preserve">
(contrôle)</t>
        </r>
      </text>
    </comment>
    <comment ref="I35" authorId="0">
      <text>
        <r>
          <rPr>
            <b/>
            <sz val="8"/>
            <rFont val="Tahoma"/>
            <family val="2"/>
          </rPr>
          <t>Pour les machines d'occasion ou pour les machines qui sont déjà amortisées il faut élever le facteur de réparation.</t>
        </r>
      </text>
    </comment>
    <comment ref="B101" authorId="0">
      <text>
        <r>
          <rPr>
            <b/>
            <sz val="8"/>
            <rFont val="Tahoma"/>
            <family val="2"/>
          </rPr>
          <t>Pour les machines d'occasion ou pour les machines qui sont déjà amortisées il faut élever le facteur de réparation.</t>
        </r>
      </text>
    </comment>
    <comment ref="I101" authorId="0">
      <text>
        <r>
          <rPr>
            <b/>
            <sz val="8"/>
            <rFont val="Tahoma"/>
            <family val="2"/>
          </rPr>
          <t>Pour les machines d'occasion ou pour les machines qui sont déjà amortisées il faut élever le facteur de réparation.</t>
        </r>
      </text>
    </comment>
    <comment ref="B161" authorId="0">
      <text>
        <r>
          <rPr>
            <b/>
            <sz val="8"/>
            <rFont val="Tahoma"/>
            <family val="2"/>
          </rPr>
          <t>Pour les machines d'occasion ou pour les machines qui sont déjà amortisées il faut élever le facteur de réparation.</t>
        </r>
      </text>
    </comment>
    <comment ref="I161" authorId="0">
      <text>
        <r>
          <rPr>
            <b/>
            <sz val="8"/>
            <rFont val="Tahoma"/>
            <family val="2"/>
          </rPr>
          <t>Pour les machines d'occasion ou pour les machines qui sont déjà amortisées il faut élever le facteur de réparation.</t>
        </r>
      </text>
    </comment>
    <comment ref="B221" authorId="0">
      <text>
        <r>
          <rPr>
            <b/>
            <sz val="8"/>
            <rFont val="Tahoma"/>
            <family val="2"/>
          </rPr>
          <t>Pour les machines d'occasion ou pour les machines qui sont déjà amortisées il faut élever le facteur de réparation.</t>
        </r>
      </text>
    </comment>
    <comment ref="I221" authorId="0">
      <text>
        <r>
          <rPr>
            <b/>
            <sz val="8"/>
            <rFont val="Tahoma"/>
            <family val="2"/>
          </rPr>
          <t>Pour les machines d'occasion ou pour les machines qui sont déjà amortisées il faut élever le facteur de réparation.</t>
        </r>
      </text>
    </comment>
    <comment ref="D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L10" authorId="0">
      <text>
        <r>
          <rPr>
            <b/>
            <sz val="9"/>
            <rFont val="Tahoma"/>
            <family val="2"/>
          </rPr>
          <t>Attention Tracteurs:</t>
        </r>
        <r>
          <rPr>
            <sz val="9"/>
            <rFont val="Tahoma"/>
            <family val="2"/>
          </rPr>
          <t xml:space="preserve">
Tracteurs 1001 - 1006: System hydraulique frontale avec prise de force optional doit être inclus supplémentaire dans le prix d'achat!
(Tracteurs 1010 - 1014: prise de force et hydr. front. sont inclus).</t>
        </r>
      </text>
    </comment>
    <comment ref="D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9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3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75"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9" authorId="0">
      <text>
        <r>
          <rPr>
            <b/>
            <sz val="9"/>
            <rFont val="Tahoma"/>
            <family val="2"/>
          </rPr>
          <t>Attention:</t>
        </r>
        <r>
          <rPr>
            <sz val="9"/>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K15" authorId="0">
      <text>
        <r>
          <rPr>
            <sz val="11"/>
            <rFont val="Tahoma"/>
            <family val="2"/>
          </rPr>
          <t>seulement le temps de travail au champ (sans temps de pannes, de preparation et de trajet (sauf pour les véhicules de transport)</t>
        </r>
      </text>
    </comment>
    <comment ref="C81" authorId="0">
      <text>
        <r>
          <rPr>
            <sz val="11"/>
            <rFont val="Tahoma"/>
            <family val="2"/>
          </rPr>
          <t>seulement le temps de travail au champ (sans temps de pannes, de preparation et de trajet (sauf pour les véhicules de transport)</t>
        </r>
      </text>
    </comment>
    <comment ref="K81" authorId="0">
      <text>
        <r>
          <rPr>
            <sz val="11"/>
            <rFont val="Tahoma"/>
            <family val="2"/>
          </rPr>
          <t>seulement le temps de travail au champ (sans temps de pannes, de preparation et de trajet (sauf pour les véhicules de transport)</t>
        </r>
      </text>
    </comment>
    <comment ref="C141" authorId="0">
      <text>
        <r>
          <rPr>
            <sz val="11"/>
            <rFont val="Tahoma"/>
            <family val="2"/>
          </rPr>
          <t>seulement le temps de travail au champ (sans temps de pannes, de preparation et de trajet (sauf pour les véhicules de transport)</t>
        </r>
      </text>
    </comment>
    <comment ref="K141" authorId="0">
      <text>
        <r>
          <rPr>
            <sz val="11"/>
            <rFont val="Tahoma"/>
            <family val="2"/>
          </rPr>
          <t>seulement le temps de travail au champ (sans temps de pannes, de preparation et de trajet (sauf pour les véhicules de transport)</t>
        </r>
      </text>
    </comment>
    <comment ref="C201" authorId="0">
      <text>
        <r>
          <rPr>
            <sz val="11"/>
            <rFont val="Tahoma"/>
            <family val="2"/>
          </rPr>
          <t>seulement le temps de travail au champ (sans temps de pannes, de preparation et de trajet (sauf pour les véhicules de transport)</t>
        </r>
      </text>
    </comment>
    <comment ref="K201" authorId="0">
      <text>
        <r>
          <rPr>
            <sz val="11"/>
            <rFont val="Tahoma"/>
            <family val="2"/>
          </rPr>
          <t>seulement le temps de travail au champ (sans temps de pannes, de preparation et de trajet (sauf pour les véhicules de transport)</t>
        </r>
      </text>
    </comment>
  </commentList>
</comments>
</file>

<file path=xl/comments6.xml><?xml version="1.0" encoding="utf-8"?>
<comments xmlns="http://schemas.openxmlformats.org/spreadsheetml/2006/main">
  <authors>
    <author>Christian Gazzarin</author>
    <author>Gazzarin Christian Agroscope</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J655" authorId="0">
      <text>
        <r>
          <rPr>
            <b/>
            <sz val="9"/>
            <rFont val="Tahoma"/>
            <family val="2"/>
          </rPr>
          <t>Christian Gazzarin:</t>
        </r>
        <r>
          <rPr>
            <sz val="9"/>
            <rFont val="Tahoma"/>
            <family val="2"/>
          </rPr>
          <t xml:space="preserve">
20% Grasanteil</t>
        </r>
      </text>
    </comment>
    <comment ref="F657" authorId="1">
      <text>
        <r>
          <rPr>
            <b/>
            <sz val="9"/>
            <rFont val="Segoe UI"/>
            <family val="2"/>
          </rPr>
          <t>Gazzarin Christian Agroscope:</t>
        </r>
        <r>
          <rPr>
            <sz val="9"/>
            <rFont val="Segoe UI"/>
            <family val="2"/>
          </rPr>
          <t xml:space="preserve">
66% des Treibstoffverbrauchs</t>
        </r>
      </text>
    </comment>
    <comment ref="J658" authorId="0">
      <text>
        <r>
          <rPr>
            <b/>
            <sz val="9"/>
            <rFont val="Tahoma"/>
            <family val="2"/>
          </rPr>
          <t>Christian Gazzarin:</t>
        </r>
        <r>
          <rPr>
            <sz val="9"/>
            <rFont val="Tahoma"/>
            <family val="2"/>
          </rPr>
          <t xml:space="preserve">
20% Grasanteil
Treibstoffverbrauch 0.5 l/Tonne FS Mais;
Basis bei 6-Reiher: 134 t FS/h; Zuschlag Wendezeit etc. 10%
Graseinsatz: zwei Drittel des Verbrauches bei Mais.</t>
        </r>
      </text>
    </comment>
    <comment ref="F660" authorId="1">
      <text>
        <r>
          <rPr>
            <b/>
            <sz val="9"/>
            <rFont val="Segoe UI"/>
            <family val="2"/>
          </rPr>
          <t>Gazzarin Christian Agroscope:</t>
        </r>
        <r>
          <rPr>
            <sz val="9"/>
            <rFont val="Segoe UI"/>
            <family val="2"/>
          </rPr>
          <t xml:space="preserve">
8/6 = 1.33 höherer Treibstoffverbrauch &gt; höhere Treibstoffkostn dazuzählen</t>
        </r>
      </text>
    </comment>
    <comment ref="F661" authorId="1">
      <text>
        <r>
          <rPr>
            <b/>
            <sz val="9"/>
            <rFont val="Segoe UI"/>
            <family val="2"/>
          </rPr>
          <t>Gazzarin Christian Agroscope:</t>
        </r>
        <r>
          <rPr>
            <sz val="9"/>
            <rFont val="Segoe UI"/>
            <family val="2"/>
          </rPr>
          <t xml:space="preserve">
66% des Treibstoffverbrauchs (33% von Treibstoffkosten abziehen)</t>
        </r>
      </text>
    </comment>
    <comment ref="L878" authorId="0">
      <text>
        <r>
          <rPr>
            <b/>
            <sz val="9"/>
            <rFont val="Tahoma"/>
            <family val="2"/>
          </rPr>
          <t>Christian Gazzarin:</t>
        </r>
        <r>
          <rPr>
            <sz val="9"/>
            <rFont val="Tahoma"/>
            <family val="2"/>
          </rPr>
          <t xml:space="preserve">
ändern für 2012 auf 10 Jahre</t>
        </r>
      </text>
    </comment>
    <comment ref="P53" authorId="0">
      <text>
        <r>
          <rPr>
            <b/>
            <sz val="9"/>
            <color indexed="8"/>
            <rFont val="Tahoma"/>
            <family val="2"/>
          </rPr>
          <t>Christian Gazzarin:</t>
        </r>
        <r>
          <rPr>
            <sz val="9"/>
            <color indexed="8"/>
            <rFont val="Tahoma"/>
            <family val="2"/>
          </rPr>
          <t xml:space="preserve">
geschätzt</t>
        </r>
      </text>
    </comment>
    <comment ref="P54" authorId="0">
      <text>
        <r>
          <rPr>
            <b/>
            <sz val="9"/>
            <color indexed="8"/>
            <rFont val="Tahoma"/>
            <family val="2"/>
          </rPr>
          <t>Christian Gazzarin:</t>
        </r>
        <r>
          <rPr>
            <sz val="9"/>
            <color indexed="8"/>
            <rFont val="Tahoma"/>
            <family val="2"/>
          </rPr>
          <t xml:space="preserve">
geschätzt</t>
        </r>
      </text>
    </comment>
    <comment ref="P885" authorId="0">
      <text>
        <r>
          <rPr>
            <b/>
            <sz val="9"/>
            <color indexed="8"/>
            <rFont val="Tahoma"/>
            <family val="2"/>
          </rPr>
          <t>Christian Gazzarin:</t>
        </r>
        <r>
          <rPr>
            <sz val="9"/>
            <color indexed="8"/>
            <rFont val="Tahoma"/>
            <family val="2"/>
          </rPr>
          <t xml:space="preserve">
geschätzt
</t>
        </r>
      </text>
    </comment>
    <comment ref="P886" authorId="0">
      <text>
        <r>
          <rPr>
            <b/>
            <sz val="9"/>
            <color indexed="8"/>
            <rFont val="Tahoma"/>
            <family val="2"/>
          </rPr>
          <t>Christian Gazzarin:</t>
        </r>
        <r>
          <rPr>
            <sz val="9"/>
            <color indexed="8"/>
            <rFont val="Tahoma"/>
            <family val="2"/>
          </rPr>
          <t xml:space="preserve">
geschätzt
</t>
        </r>
      </text>
    </comment>
    <comment ref="P917" authorId="0">
      <text>
        <r>
          <rPr>
            <b/>
            <sz val="9"/>
            <color indexed="8"/>
            <rFont val="Tahoma"/>
            <family val="2"/>
          </rPr>
          <t>Christian Gazzarin:</t>
        </r>
        <r>
          <rPr>
            <sz val="9"/>
            <color indexed="8"/>
            <rFont val="Tahoma"/>
            <family val="2"/>
          </rPr>
          <t xml:space="preserve">
geschätzt</t>
        </r>
      </text>
    </comment>
    <comment ref="P918" authorId="0">
      <text>
        <r>
          <rPr>
            <b/>
            <sz val="9"/>
            <color indexed="8"/>
            <rFont val="Tahoma"/>
            <family val="2"/>
          </rPr>
          <t>Christian Gazzarin:</t>
        </r>
        <r>
          <rPr>
            <sz val="9"/>
            <color indexed="8"/>
            <rFont val="Tahoma"/>
            <family val="2"/>
          </rPr>
          <t xml:space="preserve">
geschätzt</t>
        </r>
      </text>
    </comment>
    <comment ref="P919" authorId="0">
      <text>
        <r>
          <rPr>
            <b/>
            <sz val="9"/>
            <color indexed="8"/>
            <rFont val="Tahoma"/>
            <family val="2"/>
          </rPr>
          <t>Christian Gazzarin:</t>
        </r>
        <r>
          <rPr>
            <sz val="9"/>
            <color indexed="8"/>
            <rFont val="Tahoma"/>
            <family val="2"/>
          </rPr>
          <t xml:space="preserve">
geschätzt</t>
        </r>
      </text>
    </comment>
  </commentList>
</comments>
</file>

<file path=xl/comments7.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8"/>
            <rFont val="Tahoma"/>
            <family val="2"/>
          </rPr>
          <t>Teuerung Mai 2007 zu Mai 2008: 2,9 %
Radio: 19.6.08</t>
        </r>
      </text>
    </comment>
    <comment ref="T7" authorId="1">
      <text>
        <r>
          <rPr>
            <sz val="8"/>
            <rFont val="Tahoma"/>
            <family val="2"/>
          </rPr>
          <t xml:space="preserve">Tel. Hr. Burgi SBS; 7.7.95; Tel. 056 32 51 11
Kalkulationsansatz 1995: Fr. 20.70
Betriebsleiterzuschlag 2 % von Rohrertrag
  2 % von Fr. 120'000 = 2'400 : 300 AT = Fr. 8.--
Teuerung, 1,5 %: Fr. -.31
</t>
        </r>
      </text>
    </comment>
    <comment ref="I15" authorId="0">
      <text>
        <r>
          <rPr>
            <sz val="8"/>
            <rFont val="Tahoma"/>
            <family val="2"/>
          </rPr>
          <t>ZKB und TKB:
13.7.2004: 3.00 %</t>
        </r>
        <r>
          <rPr>
            <sz val="8"/>
            <rFont val="Tahoma"/>
            <family val="2"/>
          </rPr>
          <t xml:space="preserve">
</t>
        </r>
      </text>
    </comment>
    <comment ref="J15" authorId="0">
      <text>
        <r>
          <rPr>
            <sz val="8"/>
            <rFont val="Tahoma"/>
            <family val="2"/>
          </rPr>
          <t>ZKB und TKB:
13.7.2004: 3.00 %</t>
        </r>
        <r>
          <rPr>
            <sz val="8"/>
            <rFont val="Tahoma"/>
            <family val="2"/>
          </rPr>
          <t xml:space="preserve">
</t>
        </r>
      </text>
    </comment>
    <comment ref="K15" authorId="0">
      <text>
        <r>
          <rPr>
            <sz val="8"/>
            <rFont val="Tahoma"/>
            <family val="2"/>
          </rPr>
          <t>ZKB und TKB:
13.7.2004: 3.25 %</t>
        </r>
        <r>
          <rPr>
            <sz val="8"/>
            <rFont val="Tahoma"/>
            <family val="2"/>
          </rPr>
          <t xml:space="preserve">
</t>
        </r>
      </text>
    </comment>
    <comment ref="G18" authorId="0">
      <text>
        <r>
          <rPr>
            <sz val="8"/>
            <rFont val="Tahoma"/>
            <family val="2"/>
          </rPr>
          <t>9.7.2008
Landi Thurland, Islikon
Frau Bärtsch, 2000 l</t>
        </r>
      </text>
    </comment>
    <comment ref="J18" authorId="0">
      <text>
        <r>
          <rPr>
            <sz val="8"/>
            <rFont val="Tahoma"/>
            <family val="2"/>
          </rPr>
          <t xml:space="preserve">Tanner Co., Frau Bommeli
Fr. 164.50/100 l
</t>
        </r>
      </text>
    </comment>
    <comment ref="G19" authorId="0">
      <text>
        <r>
          <rPr>
            <sz val="8"/>
            <rFont val="Tahoma"/>
            <family val="2"/>
          </rPr>
          <t xml:space="preserve">9.7.2008
Tankstellen Frauenfeld,
Säulenpreise
</t>
        </r>
      </text>
    </comment>
    <comment ref="G20" authorId="0">
      <text>
        <r>
          <rPr>
            <sz val="8"/>
            <rFont val="Tahoma"/>
            <family val="2"/>
          </rPr>
          <t>Amsler, 2008:
25 l = Fr. 130.-
1 l = Fr. 5.20</t>
        </r>
      </text>
    </comment>
    <comment ref="G22" authorId="0">
      <text>
        <r>
          <rPr>
            <sz val="8"/>
            <rFont val="Tahoma"/>
            <family val="2"/>
          </rPr>
          <t>Amsler 2008;
5 l = Fr. 35.-
1 l = Fr. 7.-</t>
        </r>
        <r>
          <rPr>
            <sz val="8"/>
            <rFont val="Tahoma"/>
            <family val="2"/>
          </rPr>
          <t xml:space="preserve">
</t>
        </r>
      </text>
    </comment>
    <comment ref="H25" authorId="0">
      <text>
        <r>
          <rPr>
            <sz val="8"/>
            <rFont val="Tahoma"/>
            <family val="2"/>
          </rPr>
          <t>Anpassungen hir, 30.7.2007</t>
        </r>
        <r>
          <rPr>
            <b/>
            <sz val="8"/>
            <rFont val="Tahoma"/>
            <family val="2"/>
          </rPr>
          <t xml:space="preserve">
</t>
        </r>
        <r>
          <rPr>
            <sz val="8"/>
            <rFont val="Tahoma"/>
            <family val="2"/>
          </rPr>
          <t xml:space="preserve">
</t>
        </r>
      </text>
    </comment>
    <comment ref="B32" authorId="0">
      <text>
        <r>
          <rPr>
            <sz val="10"/>
            <rFont val="Tahoma"/>
            <family val="2"/>
          </rPr>
          <t>16.7.2003:
Zins 1. Hypothek: 3,25 %
Berechnung: 3,5 %
mittlerer Zinsfuss: 2,1 %
Kosten Gebäude total: 5,8 %</t>
        </r>
      </text>
    </comment>
    <comment ref="B33" authorId="0">
      <text>
        <r>
          <rPr>
            <sz val="10"/>
            <rFont val="Tahoma"/>
            <family val="2"/>
          </rPr>
          <t>13.7.2005:
Zins 1. Hypothek: 3,00 %
mittlerer Zinsfuss: 1,55 %
Kosten Gebäude total: 5,8 %</t>
        </r>
      </text>
    </comment>
    <comment ref="F37" authorId="0">
      <text>
        <r>
          <rPr>
            <sz val="8"/>
            <rFont val="Tahoma"/>
            <family val="2"/>
          </rPr>
          <t>TKB, 8.7.2008: 3.50 %</t>
        </r>
      </text>
    </comment>
    <comment ref="G37" authorId="0">
      <text>
        <r>
          <rPr>
            <sz val="8"/>
            <rFont val="Tahoma"/>
            <family val="2"/>
          </rPr>
          <t>TKB, 8.7.2008: 3.50 %</t>
        </r>
      </text>
    </comment>
    <comment ref="H37" authorId="0">
      <text>
        <r>
          <rPr>
            <sz val="8"/>
            <rFont val="Tahoma"/>
            <family val="2"/>
          </rPr>
          <t>TKB, 10.7.2007: 3.25 %</t>
        </r>
      </text>
    </comment>
    <comment ref="F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8"/>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8"/>
            <rFont val="Tahoma"/>
            <family val="2"/>
          </rPr>
          <t xml:space="preserve">Abmessung Ballen, ab 1996
Stroh und Heu 200/80/90 cm; 1,40 m3
Garn je Umgang: 5,8 + 0,2 m = 6,0 m
Garn je Balle bei 4 Knüpfungen = 24,0 m
 </t>
        </r>
      </text>
    </comment>
    <comment ref="G84" authorId="1">
      <text>
        <r>
          <rPr>
            <sz val="8"/>
            <rFont val="Tahoma"/>
            <family val="2"/>
          </rPr>
          <t xml:space="preserve">Abmessung Ballen, ab 1996
Stroh und Heu 200/80/90 cm; 1,40 m3
Garn je Umgang: 5,8 + 0,2 m = 6,0 m
Garn je Balle bei 4 Knüpfungen = 24,0 m
 </t>
        </r>
      </text>
    </comment>
    <comment ref="H84" authorId="1">
      <text>
        <r>
          <rPr>
            <sz val="8"/>
            <rFont val="Tahoma"/>
            <family val="2"/>
          </rPr>
          <t xml:space="preserve">Abmessung Ballen, ab 1996
Stroh und Heu 200/80/90 cm; 1,40 m3
Garn je Umgang: 5,8 + 0,2 m = 6,0 m
Garn je Balle bei 4 Knüpfungen = 24,0 m
 </t>
        </r>
      </text>
    </comment>
    <comment ref="I84" authorId="1">
      <text>
        <r>
          <rPr>
            <sz val="8"/>
            <rFont val="Tahoma"/>
            <family val="2"/>
          </rPr>
          <t xml:space="preserve">Abmessung Ballen, ab 1996
Stroh und Heu 200/80/90 cm; 1,40 m3
Garn je Umgang: 5,8 + 0,2 m = 6,0 m
Garn je Balle bei 4 Knüpfungen = 24,0 m
 </t>
        </r>
      </text>
    </comment>
    <comment ref="J84" authorId="1">
      <text>
        <r>
          <rPr>
            <sz val="8"/>
            <rFont val="Tahoma"/>
            <family val="2"/>
          </rPr>
          <t xml:space="preserve">Abmessung Ballen, ab 1996
Stroh und Heu 200/80/90 cm; 1,40 m3
Garn je Umgang: 5,8 + 0,2 m = 6,0 m
Garn je Balle bei 4 Knüpfungen = 24,0 m
 </t>
        </r>
      </text>
    </comment>
    <comment ref="K84" authorId="1">
      <text>
        <r>
          <rPr>
            <sz val="8"/>
            <rFont val="Tahoma"/>
            <family val="2"/>
          </rPr>
          <t xml:space="preserve">Abmessung Ballen, ab 1996
Stroh und Heu 200/80/90 cm; 1,40 m3
Garn je Umgang: 5,8 + 0,2 m = 6,0 m
Garn je Balle bei 4 Knüpfungen = 24,0 m
 </t>
        </r>
      </text>
    </comment>
    <comment ref="L84" authorId="1">
      <text>
        <r>
          <rPr>
            <sz val="8"/>
            <rFont val="Tahoma"/>
            <family val="2"/>
          </rPr>
          <t xml:space="preserve">Abmessung Ballen, ab 1996
Stroh und Heu 200/80/90 cm; 1,40 m3
Garn je Umgang: 5,8 + 0,2 m = 6,0 m
Garn je Balle bei 4 Knüpfungen = 24,0 m
 </t>
        </r>
      </text>
    </comment>
    <comment ref="M84" authorId="1">
      <text>
        <r>
          <rPr>
            <sz val="8"/>
            <rFont val="Tahoma"/>
            <family val="2"/>
          </rPr>
          <t xml:space="preserve">Abmessung Ballen, ab 1996
Stroh und Heu 200/80/90 cm; 1,40 m3
Garn je Umgang: 5,8 + 0,2 m = 6,0 m
Garn je Balle bei 4 Knüpfungen = 24,0 m
 </t>
        </r>
      </text>
    </comment>
    <comment ref="N84" authorId="1">
      <text>
        <r>
          <rPr>
            <sz val="8"/>
            <rFont val="Tahoma"/>
            <family val="2"/>
          </rPr>
          <t xml:space="preserve">Abmessung Ballen, ab 1996
Stroh und Heu 200/80/90 cm; 1,40 m3
Garn je Umgang: 5,8 + 0,2 m = 6,0 m
Garn je Balle bei 4 Knüpfungen = 24,0 m
 </t>
        </r>
      </text>
    </comment>
    <comment ref="O84" authorId="1">
      <text>
        <r>
          <rPr>
            <sz val="8"/>
            <rFont val="Tahoma"/>
            <family val="2"/>
          </rPr>
          <t xml:space="preserve">Abmessung Ballen, ab 1996
Stroh und Heu 200/80/90 cm; 1,40 m3
Garn je Umgang: 5,8 + 0,2 m = 6,0 m
Garn je Balle bei 4 Knüpfungen = 24,0 m
 </t>
        </r>
      </text>
    </comment>
    <comment ref="P84" authorId="1">
      <text>
        <r>
          <rPr>
            <sz val="8"/>
            <rFont val="Tahoma"/>
            <family val="2"/>
          </rPr>
          <t xml:space="preserve">Abmessung Ballen, ab 1996
Stroh und Heu 200/80/90 cm; 1,40 m3
Garn je Umgang: 5,8 + 0,2 m = 6,0 m
Garn je Balle bei 4 Knüpfungen = 24,0 m
 </t>
        </r>
      </text>
    </comment>
    <comment ref="Q84" authorId="1">
      <text>
        <r>
          <rPr>
            <sz val="8"/>
            <rFont val="Tahoma"/>
            <family val="2"/>
          </rPr>
          <t xml:space="preserve">Abmessung Ballen, ab 1996
Stroh und Heu 200/80/90 cm; 1,40 m3
Garn je Umgang: 5,8 + 0,2 m = 6,0 m
Garn je Balle bei 4 Knüpfungen = 24,0 m
 </t>
        </r>
      </text>
    </comment>
    <comment ref="R84" authorId="1">
      <text>
        <r>
          <rPr>
            <sz val="8"/>
            <rFont val="Tahoma"/>
            <family val="2"/>
          </rPr>
          <t xml:space="preserve">Abmessung Ballen, ab 1996
Stroh und Heu 200/80/90 cm; 1,40 m3
Garn je Umgang: 5,8 + 0,2 m = 6,0 m
Garn je Balle bei 4 Knüpfungen = 24,0 m
 </t>
        </r>
      </text>
    </comment>
    <comment ref="S84" authorId="1">
      <text>
        <r>
          <rPr>
            <sz val="8"/>
            <rFont val="Tahoma"/>
            <family val="2"/>
          </rPr>
          <t xml:space="preserve">Abmessung Ballen, ab 1996
Stroh und Heu 200/80/90 cm; 1,40 m3
Garn je Umgang: 5,8 + 0,2 m = 6,0 m
Garn je Balle bei 4 Knüpfungen = 24,0 m
 </t>
        </r>
      </text>
    </comment>
    <comment ref="T84" authorId="1">
      <text>
        <r>
          <rPr>
            <sz val="8"/>
            <rFont val="Tahoma"/>
            <family val="2"/>
          </rPr>
          <t xml:space="preserve">Abmessung Ballen, ab 1996
Stroh und Heu 200/80/90 cm; 1,40 m3
Garn je Umgang: 5,8 + 0,2 m = 6,0 m
Garn je Balle bei 4 Knüpfungen = 24,0 m
 </t>
        </r>
      </text>
    </comment>
    <comment ref="I97" authorId="0">
      <text>
        <r>
          <rPr>
            <sz val="8"/>
            <rFont val="Tahoma"/>
            <family val="2"/>
          </rPr>
          <t xml:space="preserve">Meier Hörhausen
130x3000
bis 10 Rollen: Fr. 272
123x3000
bis 10 Rollen: Fr. 255
</t>
        </r>
        <r>
          <rPr>
            <sz val="8"/>
            <rFont val="Tahoma"/>
            <family val="2"/>
          </rPr>
          <t xml:space="preserve">
</t>
        </r>
      </text>
    </comment>
    <comment ref="G133" authorId="0">
      <text>
        <r>
          <rPr>
            <sz val="8"/>
            <rFont val="Tahoma"/>
            <family val="2"/>
          </rPr>
          <t xml:space="preserve">Baltensperger
Preisliste 2008-4
</t>
        </r>
      </text>
    </comment>
    <comment ref="H133" authorId="0">
      <text>
        <r>
          <rPr>
            <sz val="8"/>
            <rFont val="Tahoma"/>
            <family val="2"/>
          </rPr>
          <t xml:space="preserve">Meier Hörhausen
dunkelgrün Fr. 80.20
weiss          Fr. 78.20
Baltensperger Fr. 94.-
 </t>
        </r>
        <r>
          <rPr>
            <sz val="8"/>
            <rFont val="Tahoma"/>
            <family val="2"/>
          </rPr>
          <t xml:space="preserve">
</t>
        </r>
      </text>
    </comment>
    <comment ref="I133" authorId="0">
      <text>
        <r>
          <rPr>
            <sz val="8"/>
            <rFont val="Tahoma"/>
            <family val="2"/>
          </rPr>
          <t xml:space="preserve">Meier Hörhausen
dunkelgrün Fr. 80.20
weiss          Fr. 78.20
Baltensperger Fr. 94.-
 </t>
        </r>
        <r>
          <rPr>
            <sz val="8"/>
            <rFont val="Tahoma"/>
            <family val="2"/>
          </rPr>
          <t xml:space="preserve">
</t>
        </r>
      </text>
    </comment>
    <comment ref="I173" authorId="0">
      <text>
        <r>
          <rPr>
            <sz val="8"/>
            <rFont val="Tahoma"/>
            <family val="2"/>
          </rPr>
          <t>Meier Hörhausen
weiss, naturgrün Fr. 96.20</t>
        </r>
        <r>
          <rPr>
            <sz val="8"/>
            <rFont val="Tahoma"/>
            <family val="2"/>
          </rPr>
          <t xml:space="preserve">
dunkelgrün          Fr. 98.70
Baltensperger Fr. 112.98</t>
        </r>
      </text>
    </comment>
    <comment ref="I182" authorId="0">
      <text>
        <r>
          <rPr>
            <sz val="8"/>
            <rFont val="Tahoma"/>
            <family val="2"/>
          </rPr>
          <t>Interpoliert von anderen Folien</t>
        </r>
        <r>
          <rPr>
            <sz val="8"/>
            <rFont val="Tahoma"/>
            <family val="2"/>
          </rPr>
          <t xml:space="preserve">
</t>
        </r>
      </text>
    </comment>
    <comment ref="F209" authorId="0">
      <text>
        <r>
          <rPr>
            <sz val="8"/>
            <rFont val="Tahoma"/>
            <family val="2"/>
          </rPr>
          <t>11.6.2009
Landi Thurland, Islilkon</t>
        </r>
        <r>
          <rPr>
            <sz val="8"/>
            <rFont val="Tahoma"/>
            <family val="2"/>
          </rPr>
          <t xml:space="preserve">
</t>
        </r>
      </text>
    </comment>
    <comment ref="G209" authorId="0">
      <text>
        <r>
          <rPr>
            <sz val="8"/>
            <rFont val="Tahoma"/>
            <family val="2"/>
          </rPr>
          <t>9.7.2008
Landi Thurland, Islilkon</t>
        </r>
        <r>
          <rPr>
            <sz val="8"/>
            <rFont val="Tahoma"/>
            <family val="2"/>
          </rPr>
          <t xml:space="preserve">
</t>
        </r>
      </text>
    </comment>
    <comment ref="H217" authorId="0">
      <text>
        <r>
          <rPr>
            <sz val="8"/>
            <rFont val="Tahoma"/>
            <family val="2"/>
          </rPr>
          <t xml:space="preserve">Angabe Althaus, 10.7.2007:
ca. 12 m/kg Stahlband
Bedarf bei 2 Bindungen/Bündel:
2x4 m = 8 m =0.67 kg à 3.77 = Fr. 2.52/Bündel
2x 3,5 m = 7 m 0,6 kg à Fr. 3.77 = Fr. 2.26/Bündel
</t>
        </r>
      </text>
    </comment>
    <comment ref="I217" authorId="0">
      <text>
        <r>
          <rPr>
            <sz val="8"/>
            <rFont val="Tahoma"/>
            <family val="2"/>
          </rPr>
          <t xml:space="preserve">Angabe Althaus, 18.6.2003:
ca. 12 m/kg Stahlband
Bedarf bei 2 Bindungen/Bündel:
2x4 m = 8 m =0.67 kg à 2.90 = Fr. 1.94/Bündel
2x 3,5 m = 7 m 0,6 kg à Fr. 2.90 = Fr. 1.74/Bündel
</t>
        </r>
      </text>
    </comment>
    <comment ref="J217" authorId="0">
      <text>
        <r>
          <rPr>
            <sz val="8"/>
            <rFont val="Tahoma"/>
            <family val="2"/>
          </rPr>
          <t xml:space="preserve">Angabe Althaus, 18.6.2003:
ca. 12 m/kg Stahlband
Bedarf bei 2 Bindungen/Bündel:
2x4 m = 8 m =0.67 kg à 2.90 = Fr. 1.94/Bündel
2x 3,5 m = 7 m 0,6 kg à Fr. 2.90 = Fr. 1.74/Bündel
</t>
        </r>
      </text>
    </comment>
    <comment ref="K217" authorId="0">
      <text>
        <r>
          <rPr>
            <sz val="8"/>
            <rFont val="Tahoma"/>
            <family val="2"/>
          </rPr>
          <t xml:space="preserve">Angabe Althaus, 18.6.2003:
ca. 12 m/kg Stahlband
Bedarf bei 2 Bindungen/Bündel:
2x4 m = 8 m =0.67 kg à 2.90 = Fr. 1.94/Bündel
2x 3,5 m = 7 m 0,6 kg à Fr. 2.90 = Fr. 1.74/Bündel
</t>
        </r>
      </text>
    </comment>
    <comment ref="L217" authorId="0">
      <text>
        <r>
          <rPr>
            <sz val="8"/>
            <rFont val="Tahoma"/>
            <family val="2"/>
          </rPr>
          <t xml:space="preserve">Angabe Althaus, 18.6.2003:
ca. 12 m/kg Stahlband
Bedarf bei 2 Bindungen/Bündel:
2x4 m = 8 m =0.67 kg à 2.90 = Fr. 1.94/Bündel
2x 3,5 m = 7 m 0,6 kg à Fr. 2.90 = Fr. 1.74/Bündel
</t>
        </r>
      </text>
    </comment>
    <comment ref="F182" authorId="3">
      <text>
        <r>
          <rPr>
            <b/>
            <sz val="8"/>
            <rFont val="Tahoma"/>
            <family val="2"/>
          </rPr>
          <t>Christian Gazzarin:</t>
        </r>
        <r>
          <rPr>
            <sz val="8"/>
            <rFont val="Tahoma"/>
            <family val="2"/>
          </rPr>
          <t xml:space="preserve">
Wiesendanger AG
Ossingen
079-671-67 65
www.awisi.ch</t>
        </r>
      </text>
    </comment>
    <comment ref="F186" authorId="3">
      <text>
        <r>
          <rPr>
            <b/>
            <sz val="8"/>
            <rFont val="Tahoma"/>
            <family val="2"/>
          </rPr>
          <t>Christian Gazzarin:</t>
        </r>
        <r>
          <rPr>
            <sz val="8"/>
            <rFont val="Tahoma"/>
            <family val="2"/>
          </rPr>
          <t xml:space="preserve">
Agrola (Landi-Preis)
4 Liter = 21.90 Fr.</t>
        </r>
      </text>
    </comment>
    <comment ref="F199" authorId="3">
      <text>
        <r>
          <rPr>
            <b/>
            <sz val="8"/>
            <rFont val="Tahoma"/>
            <family val="2"/>
          </rPr>
          <t>Christian Gazzarin:</t>
        </r>
        <r>
          <rPr>
            <sz val="8"/>
            <rFont val="Tahoma"/>
            <family val="2"/>
          </rPr>
          <t xml:space="preserve">
Keller 052-745 19 85</t>
        </r>
      </text>
    </comment>
  </commentList>
</comments>
</file>

<file path=xl/comments9.xml><?xml version="1.0" encoding="utf-8"?>
<comments xmlns="http://schemas.openxmlformats.org/spreadsheetml/2006/main">
  <authors>
    <author>Christian Gazzarin</author>
  </authors>
  <commentList>
    <comment ref="F20" authorId="0">
      <text>
        <r>
          <rPr>
            <b/>
            <sz val="9"/>
            <rFont val="Tahoma"/>
            <family val="2"/>
          </rPr>
          <t>UT = Unité de travail</t>
        </r>
      </text>
    </commen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sharedStrings.xml><?xml version="1.0" encoding="utf-8"?>
<sst xmlns="http://schemas.openxmlformats.org/spreadsheetml/2006/main" count="5885" uniqueCount="1546">
  <si>
    <t>Forfait de déplacement</t>
  </si>
  <si>
    <t>Coûts y compris forfait de déplacement</t>
  </si>
  <si>
    <t>Variante personnelle</t>
  </si>
  <si>
    <t>Heure</t>
  </si>
  <si>
    <t>Main-d'oeuvre</t>
  </si>
  <si>
    <t>Choix</t>
  </si>
  <si>
    <t>Agriculture Fr./h</t>
  </si>
  <si>
    <t>employé en dehors de l'agr./Travail salarié Fr./h</t>
  </si>
  <si>
    <t>en dehors de l'agr./Régie Fr./h</t>
  </si>
  <si>
    <t>Véhicule à moteur A</t>
  </si>
  <si>
    <t>Coûts fixes</t>
  </si>
  <si>
    <t>Coûts variables</t>
  </si>
  <si>
    <t>Tarif d'indemnisation net</t>
  </si>
  <si>
    <t>Combinaison de machines avec opérateur (résumé) - Suite</t>
  </si>
  <si>
    <t>Machine A1</t>
  </si>
  <si>
    <t>Machine A2</t>
  </si>
  <si>
    <t>Machine B2</t>
  </si>
  <si>
    <t>Machine A3</t>
  </si>
  <si>
    <t>Machine B3</t>
  </si>
  <si>
    <t>Produit d'enfumage</t>
  </si>
  <si>
    <t>Palisseuse à vigne</t>
  </si>
  <si>
    <t>Ruban métallique pour cercleuse à bois</t>
  </si>
  <si>
    <t>Valeurs limites pour le calcul de la valeur résiduelle</t>
  </si>
  <si>
    <t>Valeur résiduelle</t>
  </si>
  <si>
    <t>Seuil du degré d'utilisation</t>
  </si>
  <si>
    <t>Autres remarques</t>
  </si>
  <si>
    <t xml:space="preserve">Tarif horaire des tracteurs: mesure selon le nombre d'heures effectif </t>
  </si>
  <si>
    <t>Choix de calcul:</t>
  </si>
  <si>
    <t>1=uniquement machine; 2=combinaison de machines avec opérateur</t>
  </si>
  <si>
    <t>Date:</t>
  </si>
  <si>
    <t>Groupe de machine / désignation</t>
  </si>
  <si>
    <t>Type de machine</t>
  </si>
  <si>
    <t>Indications personnelles</t>
  </si>
  <si>
    <t>Prix du diesel</t>
  </si>
  <si>
    <t xml:space="preserve"> - Verknüpfung Untertitel in Berechnungsblatt</t>
  </si>
  <si>
    <t xml:space="preserve"> - Kommentar Dieselpreis ändern</t>
  </si>
  <si>
    <t>Poste</t>
  </si>
  <si>
    <t>Unité</t>
  </si>
  <si>
    <t>Prix d'achat</t>
  </si>
  <si>
    <t xml:space="preserve">    Neuf ou occasion?</t>
  </si>
  <si>
    <t>Utilisation par an</t>
  </si>
  <si>
    <t>Durée d'amortissement</t>
  </si>
  <si>
    <t>Années</t>
  </si>
  <si>
    <t>Durée d'utilisation technique</t>
  </si>
  <si>
    <t xml:space="preserve">Taux d'utilisation </t>
  </si>
  <si>
    <t>Facteur</t>
  </si>
  <si>
    <t>Valeur résiduelle, indic. personnelle</t>
  </si>
  <si>
    <t>Degré de charge du moteur</t>
  </si>
  <si>
    <t>Facteur de réparation</t>
  </si>
  <si>
    <t>Bâtiments nécessaires</t>
  </si>
  <si>
    <t>Maintenance nécessaire</t>
  </si>
  <si>
    <t>Std./UT</t>
  </si>
  <si>
    <t>Supplément administration et risques</t>
  </si>
  <si>
    <t>Autres suppléments</t>
  </si>
  <si>
    <t>Calcul des coûts en Fr.</t>
  </si>
  <si>
    <t>Amortissement</t>
  </si>
  <si>
    <t>Coûts d'intérêt</t>
  </si>
  <si>
    <t>Coûts des bâtiments</t>
  </si>
  <si>
    <t>Assurances et taxes</t>
  </si>
  <si>
    <t>Total des coûts fixes</t>
  </si>
  <si>
    <t>Réparations, lubrifiants, etc.</t>
  </si>
  <si>
    <t>Carburant</t>
  </si>
  <si>
    <t>Additifs</t>
  </si>
  <si>
    <t>Total des coûts variables</t>
  </si>
  <si>
    <t>Tarif d'indemnisation net (sans suppléments)</t>
  </si>
  <si>
    <t>Tarif d'indemnisation, suppléments compris</t>
  </si>
  <si>
    <t>Neuf</t>
  </si>
  <si>
    <t>par an</t>
  </si>
  <si>
    <t>par UT</t>
  </si>
  <si>
    <t>pro UT</t>
  </si>
  <si>
    <t xml:space="preserve"> - Kommentare Französisch</t>
  </si>
  <si>
    <t xml:space="preserve"> - ebenfalls Verknüpfung Zusammenfassung</t>
  </si>
  <si>
    <t>Combinaison de machines avec opérateur A (résumé)</t>
  </si>
  <si>
    <t>Désignation</t>
  </si>
  <si>
    <t>Capacité indications personnelles (prioritaire)</t>
  </si>
  <si>
    <t>Capacité (valeur pour le calcul)</t>
  </si>
  <si>
    <t>Total combinaison de machines avec opérateur</t>
  </si>
  <si>
    <t>Fr. par unité de travail en:</t>
  </si>
  <si>
    <t>Valeur pour les machines avec heures comme UT</t>
  </si>
  <si>
    <t>Résultat Coûts totaux des procédés en Fr.</t>
  </si>
  <si>
    <t>- Lorsque les caractères sont coupés, la colonne doit être élargie.</t>
  </si>
  <si>
    <t xml:space="preserve"> - Impression: veuillez indiquer le nombre exact de pages à imprimer &gt; cf. aperçu avant impression.</t>
  </si>
  <si>
    <t>UT</t>
  </si>
  <si>
    <t>- Conversion fumier: densité apparente fumier = 666 kg/m3</t>
  </si>
  <si>
    <t>Calcul des machines</t>
  </si>
  <si>
    <t>Inrtoduction:</t>
  </si>
  <si>
    <t>Contrôler et éventuellement modifier les champs en jaune et en vert.</t>
  </si>
  <si>
    <t xml:space="preserve">              ne sont plus valables!</t>
  </si>
  <si>
    <t>Généralités</t>
  </si>
  <si>
    <t>Taux d'intérêt</t>
  </si>
  <si>
    <t>Salaire</t>
  </si>
  <si>
    <t>Bâtiments (coûts annuels)</t>
  </si>
  <si>
    <t>Carburants, combustibles, lubrifiants</t>
  </si>
  <si>
    <t xml:space="preserve">Prix du diesel </t>
  </si>
  <si>
    <t>Prix de l'essence</t>
  </si>
  <si>
    <t>Priux de l'essence akylate</t>
  </si>
  <si>
    <t>Facteur de consommation du diesel</t>
  </si>
  <si>
    <t>Facteur de consommation de l'essence</t>
  </si>
  <si>
    <t>Charbon de bois</t>
  </si>
  <si>
    <t>Huile moteur</t>
  </si>
  <si>
    <t>Facteur de consommation huile moteur</t>
  </si>
  <si>
    <t>Litre / kW</t>
  </si>
  <si>
    <t>Huile petite scie</t>
  </si>
  <si>
    <t>Huile scie moyenne</t>
  </si>
  <si>
    <t>Huile grosse scie</t>
  </si>
  <si>
    <t>Gaz pour brûleur</t>
  </si>
  <si>
    <t>Assurances et taxes (impôts)</t>
  </si>
  <si>
    <t>Assurance-incendie</t>
  </si>
  <si>
    <t>Tracteur monoaxe</t>
  </si>
  <si>
    <t>Véhicules de largeur exceptionnelle</t>
  </si>
  <si>
    <t>Pulvérisateur automoteur</t>
  </si>
  <si>
    <t>Motofaucheuse</t>
  </si>
  <si>
    <t>Remorque pour auto</t>
  </si>
  <si>
    <t>Véhicule universel tout terrain</t>
  </si>
  <si>
    <t>Auxiliaires</t>
  </si>
  <si>
    <t>Liens balle HD</t>
  </si>
  <si>
    <t>Liens Br petite</t>
  </si>
  <si>
    <t>Liens Br grande</t>
  </si>
  <si>
    <t>Liens Brect. moyenne</t>
  </si>
  <si>
    <t>Liens Brect. grande</t>
  </si>
  <si>
    <t>Liens Br mini</t>
  </si>
  <si>
    <t>Filet Br moyenne</t>
  </si>
  <si>
    <t>Filet Br grande</t>
  </si>
  <si>
    <t>FIlm Brect.</t>
  </si>
  <si>
    <t>Film Brect. moyenne</t>
  </si>
  <si>
    <t>Film Brect. grande</t>
  </si>
  <si>
    <t>Film Br mini</t>
  </si>
  <si>
    <t>Filet et film, Br 1,4 m3</t>
  </si>
  <si>
    <t>Film pour presse à silo-boudin</t>
  </si>
  <si>
    <t xml:space="preserve"> - la flèche Drop-down permet en outre de chercher directement le numéro (mais sans désignation)</t>
  </si>
  <si>
    <t xml:space="preserve">   (Cela peut toutefois être utile en cas de changement rapide pour un type de machines apparenté (p. ex. changement pour un tracteur plus puissant)</t>
  </si>
  <si>
    <t xml:space="preserve"> - Procédez de haut en bas et contrôlez ou remplissez les champs verts dans le bloc de saisie A et/ou B</t>
  </si>
  <si>
    <t>- Si vous le souhaitez, vous pouvez modifier les hypothèses générales dans le tableau: "Hypothèses" (champs verts)  &gt; allez au tableau "Hypothèses"</t>
  </si>
  <si>
    <t xml:space="preserve"> - Pour le calcul des combinaisons de machines, poursuivez dans le bloc de saisie A1 - A3 resp. B1 - B3</t>
  </si>
  <si>
    <t>Autres indications:</t>
  </si>
  <si>
    <t>Certaines machines spéciales ne peuvent pas être calculées avec ce programme (avertissement).</t>
  </si>
  <si>
    <r>
      <t xml:space="preserve">Pour un bon fonctionnement du programme, nous vous recommandons de suivre impérativement le mode d’emploi!  </t>
    </r>
    <r>
      <rPr>
        <b/>
        <sz val="14"/>
        <color indexed="58"/>
        <rFont val="Arial"/>
        <family val="2"/>
      </rPr>
      <t>(Veuillez IMPRIMER cette page)</t>
    </r>
  </si>
  <si>
    <t>Mode d’emploi et sélection de machines</t>
  </si>
  <si>
    <t xml:space="preserve"> - Principe: saisie uniquement dans les champs verts!</t>
  </si>
  <si>
    <t xml:space="preserve"> - Les caractères bleus correspondent à un lien, c.-à-d. qu’il suffit de cliquer dessus pour être dirigé automatiquement vers l’adresse indiquée.</t>
  </si>
  <si>
    <t xml:space="preserve"> - Les caractères rouges correspondent à une indication ou à un avertissement </t>
  </si>
  <si>
    <t xml:space="preserve"> - Les cellules avec un angle rouge (en haut à droite) ont des champs commentaires qui apparaissent automatiquement lorsque vous passez la souris à cet endroit</t>
  </si>
  <si>
    <t xml:space="preserve"> - Imprimer cette page et allez sur le lien ci-dessous "Calcul des machines" ou sur la feuille "Calcul des machines"</t>
  </si>
  <si>
    <t xml:space="preserve"> - Sélectionnez : calcul de machine isolée ou combinaison de machines (avec véhicule à moteur); cellule C4</t>
  </si>
  <si>
    <r>
      <t>- Sélectionnez le type de machine et retenez le code à quatre chiffres (1</t>
    </r>
    <r>
      <rPr>
        <vertAlign val="superscript"/>
        <sz val="10"/>
        <color indexed="58"/>
        <rFont val="Arial"/>
        <family val="2"/>
      </rPr>
      <t>ère</t>
    </r>
    <r>
      <rPr>
        <sz val="10"/>
        <color indexed="58"/>
        <rFont val="Arial"/>
        <family val="2"/>
      </rPr>
      <t xml:space="preserve"> colonne) </t>
    </r>
  </si>
  <si>
    <t>- si vous ne disposez pas du rapport Coûts-machines &gt; consulter la feuille "Liste de machines"</t>
  </si>
  <si>
    <t>Ce programme permet de calculer individuellement les coûts des machines. Il permet également d’effectuer les calculs parallèlement pour deux machines.</t>
  </si>
  <si>
    <t xml:space="preserve">Dans l’intérêt d’une future optimisation du programme, nous serions reconnaissants aux utilisatrices et utilisateurs du programme de nous communiquer par E-mail </t>
  </si>
  <si>
    <t xml:space="preserve">les problèmes/erreurs constatés.  </t>
  </si>
  <si>
    <t>Kostenelemente und Entschädigungsansätze für Landmaschinen 2009/2010</t>
  </si>
  <si>
    <t>Strohhäcksler zu Mähdrescher</t>
  </si>
  <si>
    <t>Code</t>
  </si>
  <si>
    <t>Feldhäcksler selbstfahrend (Grundgerät)</t>
  </si>
  <si>
    <t>Kartoffelvollernter, gross, Rollbodenbunker, 
1-reihig</t>
  </si>
  <si>
    <t>Folienbedarf Rb mittel</t>
  </si>
  <si>
    <t>Folienbedarf Rb gross</t>
  </si>
  <si>
    <t>Kosten je Rundballe mittel</t>
  </si>
  <si>
    <t>Benzin</t>
  </si>
  <si>
    <t>Fr./l</t>
  </si>
  <si>
    <t>Gebäude</t>
  </si>
  <si>
    <t>Viehtransportwagen</t>
  </si>
  <si>
    <t xml:space="preserve"> - die Stundentarife sind mit den Tarifen pro Fuder identisch (1 Fu/h)</t>
  </si>
  <si>
    <t xml:space="preserve"> - umgebaute Landwirtschaftstraktoren</t>
  </si>
  <si>
    <t xml:space="preserve"> - 2.4m x 75m; 200m3 nutzbares Volumen; 600.- Fr./Schlauch bzw. Fr. 3.00/m3</t>
  </si>
  <si>
    <t>Anz./ha</t>
  </si>
  <si>
    <t>Auslastung</t>
  </si>
  <si>
    <t>Ge-</t>
  </si>
  <si>
    <t>Abschr.,</t>
  </si>
  <si>
    <t>Total</t>
  </si>
  <si>
    <t>Anteil</t>
  </si>
  <si>
    <t>Zins,</t>
  </si>
  <si>
    <t>bäude</t>
  </si>
  <si>
    <t>Gebühren</t>
  </si>
  <si>
    <t>Fr.</t>
  </si>
  <si>
    <t>AE</t>
  </si>
  <si>
    <t>%</t>
  </si>
  <si>
    <t>m3</t>
  </si>
  <si>
    <t>h/AE</t>
  </si>
  <si>
    <t>Fr./Jahr</t>
  </si>
  <si>
    <t>Fr./AE</t>
  </si>
  <si>
    <t>Fr./h</t>
  </si>
  <si>
    <t>kg</t>
  </si>
  <si>
    <t>Pneumat. Schnittgerät, 2 Scheren, Benzin, 2 kW (3 PS)</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</si>
  <si>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</si>
  <si>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</si>
  <si>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</si>
  <si>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</si>
  <si>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</si>
  <si>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</si>
  <si>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</si>
  <si>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</si>
  <si>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</si>
  <si>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</si>
  <si>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</si>
  <si>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</si>
  <si>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</si>
  <si>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</si>
  <si>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</si>
  <si>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</si>
  <si>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</si>
  <si>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</si>
  <si>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</si>
  <si>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</si>
  <si>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</si>
  <si>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</si>
  <si>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</si>
  <si>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</si>
  <si>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</si>
  <si>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</si>
  <si>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</si>
  <si>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</si>
  <si>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</si>
  <si>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</si>
  <si>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</si>
  <si>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</si>
  <si>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Kettensäge, Schwert 0,6 m, Benzin, 7 kW (9 PS)</t>
  </si>
  <si>
    <t xml:space="preserve">                 - Wählen Sie dort den Maschinentyp und merken sich den vierstelligen Code (1. Spalte) </t>
  </si>
  <si>
    <t>Mäusevergasungsapparat, Benzin, 
2 kW (3 PS)</t>
  </si>
  <si>
    <t xml:space="preserve"> ø 0,5 m, b 0,7 m; 0,14 m3 </t>
  </si>
  <si>
    <t>70 kg à 40 % TS = 28 kg TS</t>
  </si>
  <si>
    <t>Folien nach Rapid, 30-60 Rb, Fr. 140.-</t>
  </si>
  <si>
    <t>Folien für Quaderballen;</t>
  </si>
  <si>
    <t>bis 1995</t>
  </si>
  <si>
    <t>150/90/60 cm; 0,81 m3</t>
  </si>
  <si>
    <t>350 kg à 40 % TS = 140 kg TS</t>
  </si>
  <si>
    <t>ab 1996</t>
  </si>
  <si>
    <t>Transportwagen</t>
  </si>
  <si>
    <t>Treibstoff-Code</t>
  </si>
  <si>
    <t xml:space="preserve">    Code</t>
  </si>
  <si>
    <t>Arbeitsleistung</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</si>
  <si>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</si>
  <si>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</si>
  <si>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</si>
  <si>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</si>
  <si>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</si>
  <si>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</si>
  <si>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</si>
  <si>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</si>
  <si>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</si>
  <si>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</si>
  <si>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</si>
  <si>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</si>
  <si>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</si>
  <si>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</si>
  <si>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</si>
  <si>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</si>
  <si>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</si>
  <si>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</si>
  <si>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</si>
  <si>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</si>
  <si>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</si>
  <si>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</si>
  <si>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</si>
  <si>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</si>
  <si>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</si>
  <si>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</si>
  <si>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</si>
  <si>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</si>
  <si>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</si>
  <si>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</si>
  <si>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</si>
  <si>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</si>
  <si>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</si>
  <si>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</si>
  <si>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</si>
  <si>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</si>
  <si>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</si>
  <si>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</si>
  <si>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</si>
  <si>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</si>
  <si>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</si>
  <si>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</si>
  <si>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</si>
  <si>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</si>
  <si>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</si>
  <si>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</si>
  <si>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</si>
  <si>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</si>
  <si>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</si>
  <si>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Kosten je Rundballe gross</t>
  </si>
  <si>
    <t xml:space="preserve">Häckselwagen, Abschiebewagen </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</si>
  <si>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</si>
  <si>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</si>
  <si>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</si>
  <si>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</si>
  <si>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</si>
  <si>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</si>
  <si>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</si>
  <si>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</si>
  <si>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</si>
  <si>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</si>
  <si>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</si>
  <si>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</si>
  <si>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</si>
  <si>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</si>
  <si>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</si>
  <si>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</si>
  <si>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</si>
  <si>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</si>
  <si>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</si>
  <si>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</si>
  <si>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</si>
  <si>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</si>
  <si>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</si>
  <si>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</si>
  <si>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</si>
  <si>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</si>
  <si>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</si>
  <si>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</si>
  <si>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</si>
  <si>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</si>
  <si>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</si>
  <si>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</si>
  <si>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</si>
  <si>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</si>
  <si>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</si>
  <si>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</si>
  <si>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</si>
  <si>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</si>
  <si>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</si>
  <si>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</si>
  <si>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Bezeichnung</t>
  </si>
  <si>
    <t xml:space="preserve"> - bei eher leichten Arbeiten (20% Belastungsgrad) ist der Entschädigungsansatz </t>
  </si>
  <si>
    <t xml:space="preserve"> - bei schweren Arbeiten (60% Belastungsgrad) ist der Entschädigungsansatz </t>
  </si>
  <si>
    <t xml:space="preserve"> - mit Drehmechanismus und Seitenhub</t>
  </si>
  <si>
    <t>Gebäudekosten Remise statt Garage</t>
  </si>
  <si>
    <t>Treibstoffpreisberechnung mit Umrechnung aus primärer Arbeitseinheit ohne Multipl. *100 (Nur DIESEL)</t>
  </si>
  <si>
    <t>SPEZIALFÄLLE</t>
  </si>
  <si>
    <t>Traktoren mit Forstausrüstung</t>
  </si>
  <si>
    <t>Ladewagen</t>
  </si>
  <si>
    <t xml:space="preserve">     Code</t>
  </si>
  <si>
    <t xml:space="preserve"> - ab Leistung von 95 kW Fronthydraulik und Vorderachsfederung inklusive.</t>
  </si>
  <si>
    <t xml:space="preserve"> - alle Geräte sind mit Alkylat-Benzin berechnet</t>
  </si>
  <si>
    <t xml:space="preserve"> - vgl. Tabelle 9</t>
  </si>
  <si>
    <t xml:space="preserve"> - vgl. Tabelle 10 und 11</t>
  </si>
  <si>
    <t xml:space="preserve"> - bei der Auslastung ist auch die Zeit ausserhalb der Feldarbeit berücksichtigt.</t>
  </si>
  <si>
    <t>Muldenkipper, Hakengeräte</t>
  </si>
  <si>
    <t xml:space="preserve">   um 15 - 20% zu reduzieren.</t>
  </si>
  <si>
    <t xml:space="preserve">   um 15 - 20% zu erhöhen.</t>
  </si>
  <si>
    <t xml:space="preserve"> - Die Ansätze für Feldspritzen gelten für den Feldbau; im Obstbau gelten </t>
  </si>
  <si>
    <t xml:space="preserve">   die Werte für 4 Hektoliter Spritzbrühe.</t>
  </si>
  <si>
    <t xml:space="preserve"> - Kosten Stahlband: Fr. 98.- je Stahlrolle (25 kg) für 30 Holzbündel à 1m3 </t>
  </si>
  <si>
    <t xml:space="preserve">   = Fr. 3.30 / Bündel</t>
  </si>
  <si>
    <t xml:space="preserve"> - Kosten Hilfsmaterial: 16 kg Schnüre à 5.50; Heftklammern Fr. 35.-: </t>
  </si>
  <si>
    <t xml:space="preserve">   Fr. 123.-/ha</t>
  </si>
  <si>
    <t xml:space="preserve"> - die Entschädigungsansätze pro Stunde gelten auch pro Fuder (1 Fu/h)</t>
  </si>
  <si>
    <t>Pressen und Ballenerntegeräte</t>
  </si>
  <si>
    <t xml:space="preserve"> </t>
  </si>
  <si>
    <t>EA total</t>
  </si>
  <si>
    <t>nur fixe Kosten / AE</t>
  </si>
  <si>
    <t>Miete</t>
  </si>
  <si>
    <t>4 kW</t>
  </si>
  <si>
    <t>11 kW</t>
  </si>
  <si>
    <t>Fr./m3</t>
  </si>
  <si>
    <t>default</t>
  </si>
  <si>
    <t>Veränderungen</t>
  </si>
  <si>
    <t>Holzremise</t>
  </si>
  <si>
    <t>Tab. 8: Spezifische Annahmen zu den Maschinen</t>
  </si>
  <si>
    <t>CHF/ha</t>
  </si>
  <si>
    <t>Wartung</t>
  </si>
  <si>
    <t>Garage</t>
  </si>
  <si>
    <t>Remise</t>
  </si>
  <si>
    <t>Mähdrescher</t>
  </si>
  <si>
    <t>Motormäher</t>
  </si>
  <si>
    <t>Motorenöl</t>
  </si>
  <si>
    <t>Bündelgerät für Holz, 1 m3</t>
  </si>
  <si>
    <t>tenospin</t>
  </si>
  <si>
    <t>Dimension</t>
  </si>
  <si>
    <t>Unterland</t>
  </si>
  <si>
    <t>Polybale grün</t>
  </si>
  <si>
    <t>Silotite</t>
  </si>
  <si>
    <t>Mittel (Preis/m)</t>
  </si>
  <si>
    <t>m/kg</t>
  </si>
  <si>
    <t>Tabakernter, 2-reihig, ohne Lift, Benzin, (12 PS)</t>
  </si>
  <si>
    <t>Tabakernter, 2-reihig, mit Lift, Benzin, (12 PS)</t>
  </si>
  <si>
    <t>Fixe Kosten</t>
  </si>
  <si>
    <t>Variable Kosten</t>
  </si>
  <si>
    <t>Anzahl Ballen je Folie</t>
  </si>
  <si>
    <t>CHF/m3</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</si>
  <si>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</si>
  <si>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</si>
  <si>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</si>
  <si>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</si>
  <si>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</si>
  <si>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</si>
  <si>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</si>
  <si>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Autoanhänger</t>
  </si>
  <si>
    <t>Dieselpreis</t>
  </si>
  <si>
    <t>Feuerversicherung</t>
  </si>
  <si>
    <t>125%</t>
  </si>
  <si>
    <t>75%</t>
  </si>
  <si>
    <t xml:space="preserve"> - mit Zapfwellenpumpe und Öltank</t>
  </si>
  <si>
    <t>#Rollenentlaubungsgerät, 1-seitig</t>
  </si>
  <si>
    <t>#Rollenentlaubungsgerät, 2-seitig</t>
  </si>
  <si>
    <t>Fr./kg</t>
  </si>
  <si>
    <t>Fr./m</t>
  </si>
  <si>
    <t>Fr./Ba</t>
  </si>
  <si>
    <t>m/Rolle</t>
  </si>
  <si>
    <t>Fr./Rolle</t>
  </si>
  <si>
    <t>Fr./Rb</t>
  </si>
  <si>
    <t>Länge der Rollen</t>
  </si>
  <si>
    <t>Breite der Rollen</t>
  </si>
  <si>
    <t>Gewicht der Rollen</t>
  </si>
  <si>
    <t xml:space="preserve">   die Werte für 4 Hektoliter Spritzbrühe</t>
  </si>
  <si>
    <t xml:space="preserve"> - Kettenöl inbegriffen; Verbrauch Kettenöl: 0.32l/h</t>
  </si>
  <si>
    <t xml:space="preserve"> - Kettenöl inbegriffen; Verbrauch Kettenöl: 0.54l/h</t>
  </si>
  <si>
    <t xml:space="preserve"> - Kettenöl inbegriffen; Verbrauch Kettenöl: 0.63l/h</t>
  </si>
  <si>
    <t xml:space="preserve"> - Verbrauch Propangas je ha: 110 kg</t>
  </si>
  <si>
    <t>Treibstoffpreisberechnung mit Umrechnung aus primärer Arbeitseinheit</t>
  </si>
  <si>
    <t>Maschinen, die nicht berechnet werden können</t>
  </si>
  <si>
    <t>Abweichung1 zu ART-Richtwert</t>
  </si>
  <si>
    <t>Abweichung2 zu ART-Richtwert</t>
  </si>
  <si>
    <t>Motor-Kleingeräte</t>
  </si>
  <si>
    <t/>
  </si>
  <si>
    <t>Aemisegger</t>
  </si>
  <si>
    <t>2009/10</t>
  </si>
  <si>
    <t>Netzbedarf je Rb Heu</t>
  </si>
  <si>
    <t>Netzbedarf je Rb Silage</t>
  </si>
  <si>
    <t>Kosten Netz; Heuballen</t>
  </si>
  <si>
    <t>kW oder AE/h</t>
  </si>
  <si>
    <t>mit Schneidwerk</t>
  </si>
  <si>
    <t xml:space="preserve"> - ohne Aufbauten</t>
  </si>
  <si>
    <t xml:space="preserve"> - Rauchmaterial 0.07 l à Fr. 6.-; Benzin 4 l à Fr. 2.-; total Fr. 8.42 / h</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</si>
  <si>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</si>
  <si>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</si>
  <si>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</si>
  <si>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</si>
  <si>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</si>
  <si>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Maschinen mit hohen Tarifen (Abweichung wegen Rundungsproblemen)</t>
  </si>
  <si>
    <t>Benzinpreis</t>
  </si>
  <si>
    <t>CHF/h</t>
  </si>
  <si>
    <t>CHF/l</t>
  </si>
  <si>
    <t>CHF/a</t>
  </si>
  <si>
    <t>Aufsitzsprühgerät</t>
  </si>
  <si>
    <t>CHF/b</t>
  </si>
  <si>
    <t>Fr./Stück</t>
  </si>
  <si>
    <t>Transportanhänger</t>
  </si>
  <si>
    <t>Rb</t>
  </si>
  <si>
    <t>Qb</t>
  </si>
  <si>
    <t>m</t>
  </si>
  <si>
    <t>Kosten</t>
  </si>
  <si>
    <t>Gelände-Allzweckfahrzeug</t>
  </si>
  <si>
    <t>Occasion</t>
  </si>
  <si>
    <t>Mittel</t>
  </si>
  <si>
    <t>klein</t>
  </si>
  <si>
    <t>mittel</t>
  </si>
  <si>
    <t>gross</t>
  </si>
  <si>
    <t>Traktoren (Standard) 2-Radantrieb</t>
  </si>
  <si>
    <t>Traktoren (Standard) Allradantrieb</t>
  </si>
  <si>
    <t xml:space="preserve">Transporter </t>
  </si>
  <si>
    <t>2 kW</t>
  </si>
  <si>
    <t>Marke</t>
  </si>
  <si>
    <t>Leistung</t>
  </si>
  <si>
    <t>Kettensäge, Schwert 0,4 m, Benzin, 2 kW (3 PS)</t>
  </si>
  <si>
    <t>Kettensäge, Schwert 0,5 m, Benzin, 4 kW (5 PS)</t>
  </si>
  <si>
    <t>Traktor 86 kW (115 PS)</t>
  </si>
  <si>
    <t>Neupreis: Fr. 110 000</t>
  </si>
  <si>
    <t>Var.Kosten/h</t>
  </si>
  <si>
    <t>Transportwagen und Miststreuer</t>
  </si>
  <si>
    <t>Transportwagen ohne Miststreuer</t>
  </si>
  <si>
    <t>Abflammgerät für Kartoffeln, 3 m, 4-reihig</t>
  </si>
  <si>
    <t>Kosten Netz; Siloballen</t>
  </si>
  <si>
    <t>Preise Netze</t>
  </si>
  <si>
    <t>Welger</t>
  </si>
  <si>
    <t>Rondotex MX1000</t>
  </si>
  <si>
    <t>Rondotex RTX</t>
  </si>
  <si>
    <t>Rondotex Welger</t>
  </si>
  <si>
    <t>Grösse cm</t>
  </si>
  <si>
    <t>Novatex Orkel</t>
  </si>
  <si>
    <t>Preis/Rolle inkl. Mwst.</t>
  </si>
  <si>
    <t>Novatex Winner adv.</t>
  </si>
  <si>
    <t>Preise Folien</t>
  </si>
  <si>
    <t>1 kW</t>
  </si>
  <si>
    <t>Siloschlauchpresse mit Folie, ø 2,4 m</t>
  </si>
  <si>
    <t xml:space="preserve">Miststreuer </t>
  </si>
  <si>
    <t xml:space="preserve">Pflanzenschutz </t>
  </si>
  <si>
    <t>Folien für Rundballen mittel und gross</t>
  </si>
  <si>
    <t>Maschinen mit manueller kW-Eingabe</t>
  </si>
  <si>
    <t xml:space="preserve"> - Raumgewicht Mist: 666 kg / m3</t>
  </si>
  <si>
    <t>Zetten und Wenden</t>
  </si>
  <si>
    <t>Paloxe</t>
  </si>
  <si>
    <t>Mähdrescher (ohne Schneidwerk)</t>
  </si>
  <si>
    <t>Fr. / h</t>
  </si>
  <si>
    <t>heures (h)</t>
  </si>
  <si>
    <t>hectares</t>
  </si>
  <si>
    <t>charretées</t>
  </si>
  <si>
    <t>balles</t>
  </si>
  <si>
    <t>bêtes</t>
  </si>
  <si>
    <t>sacs</t>
  </si>
  <si>
    <t>arbres</t>
  </si>
  <si>
    <t>Tracteurs forestiers</t>
  </si>
  <si>
    <t>Tracteur forestier 110 kW (150 ch)</t>
  </si>
  <si>
    <t>Tracteurs spécialisés (Arboriculture, Viticulture)</t>
  </si>
  <si>
    <t>Faucheuse à 2 essieux</t>
  </si>
  <si>
    <t>Transporteurs</t>
  </si>
  <si>
    <t>Véhicules de manutention</t>
  </si>
  <si>
    <t>Elévateur à fourche, automoteur, mot.e., 15 kW (20 ch)</t>
  </si>
  <si>
    <t>Motofaucheuses et monoaxes (porte-outil, fraise à neige)</t>
  </si>
  <si>
    <t xml:space="preserve"> Motofaucheuse, barre de coupe, 1,9 m, 10 kW (14 ch)  avec compensation latérale</t>
  </si>
  <si>
    <t>Tracteur à 1 essieu 6 kW (9 ch)</t>
  </si>
  <si>
    <t>Tracteur à 1 essieu 8 kW (11 ch)</t>
  </si>
  <si>
    <t xml:space="preserve"> entraînement hydrostatique, 10 kW (14 ch)</t>
  </si>
  <si>
    <t>Petits outils à moteur</t>
  </si>
  <si>
    <t>Tronçonneuse, 40 cm, moteur à essence, 2 kW (3 ch)</t>
  </si>
  <si>
    <t>Tronçonneuse, 50 cm, moteur à essence, 4 kW (5 ch)</t>
  </si>
  <si>
    <t>Tronçonneuse, 60 cm, moteur à essence, 5 kW (7 ch)</t>
  </si>
  <si>
    <t>Débroussailleuse à main, moteur à essence, 2 kW (3 ch)</t>
  </si>
  <si>
    <t>Souffleur à dos, 3 kW (4 ch)</t>
  </si>
  <si>
    <t>Véhicule tout-terrain et Bétaillère automobile</t>
  </si>
  <si>
    <t>Bétaillère automobile, 3.5 t, mot.d., (130 ch)</t>
  </si>
  <si>
    <t>2. Equipements supplémentaires pour vehicules à moteur</t>
  </si>
  <si>
    <t>Roues jumelées / Système hydraulique frontaux</t>
  </si>
  <si>
    <t>Système hydraulique frontal avec prise de force</t>
  </si>
  <si>
    <t>Chargeur frontale</t>
  </si>
  <si>
    <t>Chargeur frontal, moyen, 49-66 kW (66-90 ch)</t>
  </si>
  <si>
    <t>Fourche à grosses balles, pour chargeur frontal</t>
  </si>
  <si>
    <t>Pelle à terre pour chargeur fontal, 1,9-2,5 m</t>
  </si>
  <si>
    <t>Fourche à désiler pour chargeur frontal</t>
  </si>
  <si>
    <t>Fourche crocodile pour chargeur frontal, 1,2-2,2 m</t>
  </si>
  <si>
    <t>Dents pour balles rondes pour chargeur frontal</t>
  </si>
  <si>
    <t>Pince à grosses balles, pour chargeur frontal</t>
  </si>
  <si>
    <t>Transpalette pour chargeur frontal</t>
  </si>
  <si>
    <t>Equipements supplémentaires pour attelage 3 points</t>
  </si>
  <si>
    <t>Fourche à grosses balles</t>
  </si>
  <si>
    <t>Pince à grosses balles</t>
  </si>
  <si>
    <t>Répartiteur de fourrage pour silo-couloir</t>
  </si>
  <si>
    <t>Benne basculante</t>
  </si>
  <si>
    <t>Chargeur arrière, pelle mécanique</t>
  </si>
  <si>
    <t>Chargeur arrière, avec vérin hydraulique</t>
  </si>
  <si>
    <t>Palettiseur, arrière, hauteur 3 m</t>
  </si>
  <si>
    <t>Palettiseur, arrière, hauteur 3 m,
    fourche basculante et coulissante</t>
  </si>
  <si>
    <t>Lame de terrassement pour tracteur</t>
  </si>
  <si>
    <t>Equipements supplémentaires pour transporteurs</t>
  </si>
  <si>
    <t>Pont pour transporteur, métal</t>
  </si>
  <si>
    <t>Pont basculant pour transporteur, métal</t>
  </si>
  <si>
    <t>Grue pour transporteur</t>
  </si>
  <si>
    <t>Equipements pour déneigement</t>
  </si>
  <si>
    <t>Fraise à neige pour tracteur de plus de 80 kW (109 ch)</t>
  </si>
  <si>
    <t>Equipements supplémentaires pour tracteurs à 1 essieu (monoaxes)</t>
  </si>
  <si>
    <t>Barre de coupe pour motofaucheuse, 1,9 m</t>
  </si>
  <si>
    <t>Barre de coupe universelle</t>
  </si>
  <si>
    <t>Râteau-faneur pour motofaucheuse 180 cm</t>
  </si>
  <si>
    <t>Disp. andaineur pour motofaucheuse, 1,9 m</t>
  </si>
  <si>
    <t>Remorque à 1 essieu, charge utile 500 kg</t>
  </si>
  <si>
    <t>Lame à neige, 1,3 m</t>
  </si>
  <si>
    <t>Fraise à neige, 1 m</t>
  </si>
  <si>
    <t>3. Chars et remorques</t>
  </si>
  <si>
    <t>Remorque, basculement hydraulique (bh), 7 t</t>
  </si>
  <si>
    <t>Char, bh, 5 t</t>
  </si>
  <si>
    <t>Char, bh, 8 t</t>
  </si>
  <si>
    <t>Char, bh, 10 t</t>
  </si>
  <si>
    <t>Char, bh, plus de 10 t</t>
  </si>
  <si>
    <t>Remorque pour voiture</t>
  </si>
  <si>
    <t>Remorque monocoque, porteur multibenne</t>
  </si>
  <si>
    <t>essieux tandem, basculement hydraulique (bh), 12 t</t>
  </si>
  <si>
    <t>essieux tandem, bh, 15 t</t>
  </si>
  <si>
    <t>3 essieux, bh, 20 t</t>
  </si>
  <si>
    <t>Bétaillière et Abreuvoir mobile</t>
  </si>
  <si>
    <t>Bétaillière pour 2 vaches</t>
  </si>
  <si>
    <t>Bétaillière pour 7 vaches</t>
  </si>
  <si>
    <t>Bétaillière pour 11 vaches</t>
  </si>
  <si>
    <t>Abreuvoir mobile, 500 l</t>
  </si>
  <si>
    <t>Abreuvoir mobile, 2000 l</t>
  </si>
  <si>
    <t>4. Travail du sol</t>
  </si>
  <si>
    <t>Chisels, sous-soleuses, bêcheuse</t>
  </si>
  <si>
    <t>Chisel avec rouleau émotteur, 3 m</t>
  </si>
  <si>
    <t>Bêcheuse, 2 m</t>
  </si>
  <si>
    <t>Bêcheuse, 3 m</t>
  </si>
  <si>
    <t>Charrues</t>
  </si>
  <si>
    <t>Charrue bisoc</t>
  </si>
  <si>
    <t>Charrue trisoc</t>
  </si>
  <si>
    <t>Charrue quadrisoc</t>
  </si>
  <si>
    <t>Charrue à 5 socs</t>
  </si>
  <si>
    <t>Charrue à 6 socs</t>
  </si>
  <si>
    <t>Herses sans entraînement</t>
  </si>
  <si>
    <t>Herse à disques tractée, 3 m</t>
  </si>
  <si>
    <t>Herse à disques tractée, 4 m</t>
  </si>
  <si>
    <t>Déchaumeuse à disques avec rouleau, 3 m</t>
  </si>
  <si>
    <t>Déchaumeuse à disques avec rouleau, 4 m</t>
  </si>
  <si>
    <t>Vibroculteur avec rouleau émotteur, 3 m</t>
  </si>
  <si>
    <t>Herses avec entraînement</t>
  </si>
  <si>
    <t>Fraise avec rouleau émotteur, 2,1 m</t>
  </si>
  <si>
    <t>Fraise avec rouleau émotteur, 2,5 m</t>
  </si>
  <si>
    <t>Herse rotative avec rouleau packer, 2,5 m</t>
  </si>
  <si>
    <t>Herse rotative avec rouleau packer, 3 m</t>
  </si>
  <si>
    <t>Herse rotative à axe horizontal, (rouleau packer) 2,5 m</t>
  </si>
  <si>
    <t>Herse rotative à axe horizontal, (rouleau packer) 3 m</t>
  </si>
  <si>
    <t>Rouleaux</t>
  </si>
  <si>
    <t>Rouleau lisse, 3 m</t>
  </si>
  <si>
    <t>Rouleau lisse, 5 m</t>
  </si>
  <si>
    <t>Rouleau cannelé, 6 m, traînée</t>
  </si>
  <si>
    <t>Rouleau cannelé, 8 m, traînée</t>
  </si>
  <si>
    <t>autres outils pour travail du sol</t>
  </si>
  <si>
    <t>Dispositif d'attelage supplémentaire, pour semoir</t>
  </si>
  <si>
    <t>Rouleau tasse-avant, 1,5 m</t>
  </si>
  <si>
    <t>5. Semis et entretien</t>
  </si>
  <si>
    <t>Semoir conventionnel</t>
  </si>
  <si>
    <t>Semoir avec dispositif de jalonnement, 2.5 m</t>
  </si>
  <si>
    <t>Semoir avec dispositif de jalonnement, 3 m</t>
  </si>
  <si>
    <t>Semoir pneumatique, porté, 3 m</t>
  </si>
  <si>
    <t>Semoir pour semis direct, 3 m</t>
  </si>
  <si>
    <t>Semoir monograine pour maïs</t>
  </si>
  <si>
    <t>Semoir monograine à maïs, 4 rangs</t>
  </si>
  <si>
    <t>Semoir monograine à maïs, 6 rangs</t>
  </si>
  <si>
    <t>Semoir monograine à maïs, 8 rangs</t>
  </si>
  <si>
    <t>Semoir monogtaine pour betteraves</t>
  </si>
  <si>
    <t>Planteuse et repiqueuses (patates, tabac)</t>
  </si>
  <si>
    <t>Planteuse à pommes de terre automatique, 2 rangs</t>
  </si>
  <si>
    <t>Planteuse à pommes de terre automatique, 4 rangs</t>
  </si>
  <si>
    <t>Repiqueuse de légumes, 2 rangs</t>
  </si>
  <si>
    <t>Planteuse de tabac, 2 rangs</t>
  </si>
  <si>
    <t>Combinaisons et outils compléntaires</t>
  </si>
  <si>
    <t>Combinaisons mise en culture et semis:</t>
  </si>
  <si>
    <t>Herse étrille</t>
  </si>
  <si>
    <t>Herse de sarclage, 6 m</t>
  </si>
  <si>
    <t>Outils pour la culture du maïs</t>
  </si>
  <si>
    <t>Sarcleuse étoile à maïs, 4 rangs</t>
  </si>
  <si>
    <t>Outils pour les pommes de terre</t>
  </si>
  <si>
    <t>Sarcleuse, butteuse à pommes de terre, 4 rangs</t>
  </si>
  <si>
    <t>Fraise-butteuse pour pommes de terre, 4 rangs</t>
  </si>
  <si>
    <t>Billonneur, 4 rangs</t>
  </si>
  <si>
    <t>Outils pour la culture de la betterave</t>
  </si>
  <si>
    <t>Sarcleuse à betteraves, 6 rangs</t>
  </si>
  <si>
    <t>Sarcleuse à brosses, 5 rangs</t>
  </si>
  <si>
    <t>Entretien des prairies et patures</t>
  </si>
  <si>
    <t xml:space="preserve">Exterminateur de campagnols (essence, 2 kW [3 ch])  </t>
  </si>
  <si>
    <t>Faucheuse de refuse</t>
  </si>
  <si>
    <t>Faucheuse de refus, frontale/axiale, 1.75 m</t>
  </si>
  <si>
    <t>Faucheuse de refus, frontale/axiale, 2.5 m</t>
  </si>
  <si>
    <t>Faucheuse de refus, frontale/axiale, 3 m</t>
  </si>
  <si>
    <t>Broyeur latéral, 1.55m avec bras articulé</t>
  </si>
  <si>
    <t>Broyeur latéral, 2m avec bras articulé</t>
  </si>
  <si>
    <t>Protection des cultures</t>
  </si>
  <si>
    <t>Distributeur centrifuge de granulés</t>
  </si>
  <si>
    <t>Pulvérisateur porté, rampe 12 m, réservoir 600 l</t>
  </si>
  <si>
    <t>Pulvérisateur porté, rampe 15 m, réservoir 800 l</t>
  </si>
  <si>
    <t>Pulvérisateur traîné, rampe 18 m, réservoir 2000 l</t>
  </si>
  <si>
    <t>Pulvérisateur traîné, rampe 24 m, réservoir 2500 l</t>
  </si>
  <si>
    <t>6. Fumure et compostage</t>
  </si>
  <si>
    <t>Distributeur d'engrais</t>
  </si>
  <si>
    <t>à simple trémie, 2,5 m</t>
  </si>
  <si>
    <t>en ligne pour bineuse</t>
  </si>
  <si>
    <t>centrifuge, jusqu'à 500 l</t>
  </si>
  <si>
    <t>centrifuge, 500 - 1000 l</t>
  </si>
  <si>
    <t>centrifuge, plus de 1000 l</t>
  </si>
  <si>
    <t>Distributeur en ligne pour distributeur d'engrais centrifuge</t>
  </si>
  <si>
    <t>Epandeur de fumier</t>
  </si>
  <si>
    <t>Grue à fumier</t>
  </si>
  <si>
    <t>Grue à fumier, 3 points, à prise de force</t>
  </si>
  <si>
    <t>Grue à fumier avec moteur électrique, 5,5 kW (7,5 ch)</t>
  </si>
  <si>
    <t>Grue à fumier pour prise de force</t>
  </si>
  <si>
    <t>Citernes à pression</t>
  </si>
  <si>
    <t>Citerne à pression, portée pour transporteur, 2000 l</t>
  </si>
  <si>
    <t>pompe en supplément</t>
  </si>
  <si>
    <t>Citernes avec pompe</t>
  </si>
  <si>
    <t>Citerne avec pompe, portée pour transporteur, 2000 l</t>
  </si>
  <si>
    <t>Citerne avec pompe, 3000 l</t>
  </si>
  <si>
    <t>Citerne avec pompe, 4000 l</t>
  </si>
  <si>
    <t>Citerne avec pompe, 5000 l</t>
  </si>
  <si>
    <t>Citerne avec pompe, 6000 l</t>
  </si>
  <si>
    <t>Citerne avec pompe, 8000 l</t>
  </si>
  <si>
    <t>Citerne avec pompe, 10 000 l</t>
  </si>
  <si>
    <t>Citerne avec pompe, 12 000 l</t>
  </si>
  <si>
    <t>Citernes avec rampe pendillards</t>
  </si>
  <si>
    <t>5000 l, avec disp. d'épandage à tuyaux souples, 9 m</t>
  </si>
  <si>
    <t>6000 l, avec disp. d'épandage à tuyaux souples, 12 m</t>
  </si>
  <si>
    <t>8000 l, avec disp. d'épandage à tuyaux souples, 12 m</t>
  </si>
  <si>
    <t>10000 l, avec disp. d'épandage à tuyaux souples, 12 m</t>
  </si>
  <si>
    <t>12000 l, avec disp. d'épandage à tuyaux souples, 12 m</t>
  </si>
  <si>
    <t>Pompes, mixeurs et separateurs à lisiers</t>
  </si>
  <si>
    <t>Bras de remplissage, sans moteur</t>
  </si>
  <si>
    <t>Pompe à piston rotatif, pour prise de force</t>
  </si>
  <si>
    <t>Pompe à vis sans fin, pour prise de force</t>
  </si>
  <si>
    <t>Mixeur à lisier avec moteur électrique, 7 kW (10 ch)</t>
  </si>
  <si>
    <t>Brasseur à hélice, moteur électrique, 7,5 kW (10 ch)</t>
  </si>
  <si>
    <t>Equipements pour épandage par tuyau</t>
  </si>
  <si>
    <t>Lance à lisier, 3 points, manuel</t>
  </si>
  <si>
    <t>Epandeuse de lisier, 3 points, automatique</t>
  </si>
  <si>
    <t>Répartiteur à lisier, 3 points, électrique</t>
  </si>
  <si>
    <t>Dispositif d'épandage à tuyaux souples, 9 m</t>
  </si>
  <si>
    <t>Dispositif d'épandage à tuyaux souples, 12 m</t>
  </si>
  <si>
    <t>Dispositif d'épandage à tuyaux souples, 15 m</t>
  </si>
  <si>
    <t>Conduites et tuyaux</t>
  </si>
  <si>
    <t>Tuyau PVC, 100 m, ø 75 mm</t>
  </si>
  <si>
    <t>Tuyau PVC, fixation treuil, 3 points, 300 m, ø 75 mm</t>
  </si>
  <si>
    <t>Tuyau PVC, fixation treuil, 3 points, 600 m, ø 75 mm</t>
  </si>
  <si>
    <t>Tuyau PVC, fixation treuil, 3 points, 300 m, ø 90 mm</t>
  </si>
  <si>
    <t>Tuyau PVC, fixation treuil, 3 points, 600 m, ø 90 mm</t>
  </si>
  <si>
    <t>Tuyau PE, 100 m, ø 75 mm</t>
  </si>
  <si>
    <t>Tuyau PE, 300 m, ø 75 mm, avec enrouleur</t>
  </si>
  <si>
    <t>Tuyau PE, 100 m, ø 90 mm</t>
  </si>
  <si>
    <t>Arrosage</t>
  </si>
  <si>
    <t>Pompe d'arrosage pour tracteur avec tuyau, 100 m</t>
  </si>
  <si>
    <t>Installation d'arrosage, 37 arroseurs, tuyau, 600 m</t>
  </si>
  <si>
    <t>Installation d'arrosage à enrouleur petit, 170 m</t>
  </si>
  <si>
    <t>Installation d'arrosage à enrouleur, 350 m</t>
  </si>
  <si>
    <t>Installation d'arrosage à enrouleur, 450 m</t>
  </si>
  <si>
    <t>Compostage</t>
  </si>
  <si>
    <t>Déchiqueteuse de déchets, prise de force</t>
  </si>
  <si>
    <t>Déchiqueteuse de déchets, moteur diesel, 30 kW (41 ch)</t>
  </si>
  <si>
    <t>Retourneur d'andains de compost</t>
  </si>
  <si>
    <t>7. Récolte de céréales, colza et maïs</t>
  </si>
  <si>
    <t>Moissonneuses-batteuses (sans barres de coupe)</t>
  </si>
  <si>
    <t>Barres de coupe avec remorque</t>
  </si>
  <si>
    <t>Broyeur et éparpilleur de paille, transporteurs</t>
  </si>
  <si>
    <t>Broyeur de paille pour moissonneuse-batteuse</t>
  </si>
  <si>
    <t>Distributeur de glumes pour moissonneuse-batteuse</t>
  </si>
  <si>
    <t>Distributeur de paille pour moissonneuse-batteuse</t>
  </si>
  <si>
    <t>Défaneuses et Brûleur</t>
  </si>
  <si>
    <t>Arracheuses et  récolteuse de pommes de terre</t>
  </si>
  <si>
    <t>Récolteuse totale de pommes de terre, trémie moyenne, 1 rang</t>
  </si>
  <si>
    <t>Récolteuse totale de pommes de terre, trémie grande, 1 rang</t>
  </si>
  <si>
    <t>Récolteuse totale de pommes de terre   avec séparateur et 2 trémies, 1 rang</t>
  </si>
  <si>
    <t>Récolteuse totale de pommes de terre avec tapis de déchargement latéral,  2 rangs</t>
  </si>
  <si>
    <t>Equipement divers pour récolte de pommes de terre</t>
  </si>
  <si>
    <t>Equipement basculant pour paloxes</t>
  </si>
  <si>
    <t>Doseur pour pommes de terre</t>
  </si>
  <si>
    <t>Calibreur de pommes de terre avec triage</t>
  </si>
  <si>
    <t>Bande d'alimentation pour paloxes</t>
  </si>
  <si>
    <t>Bande d'alimentation avec balance</t>
  </si>
  <si>
    <t>Récolteuse de tabac</t>
  </si>
  <si>
    <t>Récolte de betteraves</t>
  </si>
  <si>
    <t>Décolleteuse-arracheuse aligneuse, 6 rangs</t>
  </si>
  <si>
    <t>Récolteuse de betteraves fourragères,  traînée, 1 rang</t>
  </si>
  <si>
    <t xml:space="preserve">Outils de nettoyage pour betteraves </t>
  </si>
  <si>
    <t>9. Récolte des fourrages</t>
  </si>
  <si>
    <t>Barre de coupe et râteau-faneur pour faucheuse à 2 essieux</t>
  </si>
  <si>
    <t xml:space="preserve">Faucheuse rotative, 2,2 m </t>
  </si>
  <si>
    <t>Râteau-faneur</t>
  </si>
  <si>
    <t>Faucheuses et conditionneurs pour tracteurs</t>
  </si>
  <si>
    <t>Barre de coupe frontale, à double lame, 2,5 m</t>
  </si>
  <si>
    <t>Faucheuse rotative frontale, 2,5-3 m</t>
  </si>
  <si>
    <t>Faucheuse-rotative, 1,6 -2 m</t>
  </si>
  <si>
    <t>Faucheuse-rotative, 2,1-2,6 m</t>
  </si>
  <si>
    <t>Faucheuse-conditionneuse, attelage 3 points, 1,6-2 m</t>
  </si>
  <si>
    <t>Faucheuse-conditionneuse, attelage 3 points,  2,1-2,8 m</t>
  </si>
  <si>
    <t>Faucheuse-conditionneuse, traînée, 2,5-3,1 m</t>
  </si>
  <si>
    <t>Conditionneur, 2 m, attelage 3 points</t>
  </si>
  <si>
    <t>Conditionneur intensiv, traîné, 1,8 m</t>
  </si>
  <si>
    <t>Faneuses et retourneurs</t>
  </si>
  <si>
    <t>Pirouette, 3,5-4,5 m</t>
  </si>
  <si>
    <t>Pirouette, 4,6-6 m</t>
  </si>
  <si>
    <t>Pirouette, 6,1-7,5 m</t>
  </si>
  <si>
    <t>Pirouette, 7,5-9 m</t>
  </si>
  <si>
    <t>Pirouette, plus 9-13 m</t>
  </si>
  <si>
    <t>Retourneur d'andains</t>
  </si>
  <si>
    <t>Andaineurs</t>
  </si>
  <si>
    <t>Andaineur à toupie, 2,8-3,2 m</t>
  </si>
  <si>
    <t>Andaineur à toupie, 3,4-4,5 m</t>
  </si>
  <si>
    <t>Andaineur à deux toupies, 5,5-6,5 m, andainement central</t>
  </si>
  <si>
    <t>Andaineur à deux toupies, &gt; 6,5 m, andainement central</t>
  </si>
  <si>
    <t>Andaineur à deux toupies, 5,5-6,5 m, and. latéral</t>
  </si>
  <si>
    <t>Andaineur (soleil), 6,5-7,5 m</t>
  </si>
  <si>
    <t>Autochargeuses</t>
  </si>
  <si>
    <t>Autochargeuse pour transporteur, 9.5 m3 DIN</t>
  </si>
  <si>
    <t>Autochargeuse avec dispositif de coupe, 15 m3 DIN</t>
  </si>
  <si>
    <t>Autochargeuse avec dispositif de coupe, 20 m3 DIN</t>
  </si>
  <si>
    <t>Autochargeuse avec dispositif de coupe, 25 m3 DIN</t>
  </si>
  <si>
    <t>Autochargeuse à rotor, 30 m3 DIN</t>
  </si>
  <si>
    <t>Autochargeuse à rotor, 35 m3 DIN</t>
  </si>
  <si>
    <t>Autochargeuse à rotor, 40 m3 DIN</t>
  </si>
  <si>
    <t>Supplément de bande de déchargement latérale</t>
  </si>
  <si>
    <t>Remorque d'ensilage et avec paroi mobile</t>
  </si>
  <si>
    <t>Remorque d'ensilage avec doseur, 25 m3 DIN</t>
  </si>
  <si>
    <t>Remorque d'ensilage avec doseur, 35 m3 DIN</t>
  </si>
  <si>
    <t>Remorque d'ensilage avec doseur, 45 m3 DIN</t>
  </si>
  <si>
    <t>Cadre à fourrage</t>
  </si>
  <si>
    <t>Remorque avec paroi mobile, 35 m3 DIN</t>
  </si>
  <si>
    <t>Remorque avec paroi mobile, 45 m3 DIN</t>
  </si>
  <si>
    <t>Presses, enrubanneuses et transport de balles</t>
  </si>
  <si>
    <t>Presse pour silo-boudin avec gaine plastique, ø 2,4 m</t>
  </si>
  <si>
    <t>Presse à haute densité</t>
  </si>
  <si>
    <t>Presse à balles rondes, ch. fixe, 
avec couteaux suppl. 1,4 m3 (silo)</t>
  </si>
  <si>
    <t>Presse à balles rondes, vario, couteaux suppl., 2,1 m3</t>
  </si>
  <si>
    <t>Combinaison presse et enrubanneuse, b.rondes, 1.4 m3</t>
  </si>
  <si>
    <t>Enrubanneuse pour petites balles rondes, ø 0,5 m, 0,14 m3</t>
  </si>
  <si>
    <t>Enrubanneuse pour balles rectangulaires, 1,2 m3</t>
  </si>
  <si>
    <t>Combinaison presse et enrubanneuse pour balles rondes   pour maïs d'ensilage</t>
  </si>
  <si>
    <t>Groupeur de bottes, 30-50 bottes</t>
  </si>
  <si>
    <t>Remorque autochargeuse bottes</t>
  </si>
  <si>
    <t>Remorque pour transport de grosses balles</t>
  </si>
  <si>
    <t>Ensileuses à maïs ou pour silo d'herbe (portée ou traînée)</t>
  </si>
  <si>
    <t>Ensileuse à maïs, portée, 1 rang</t>
  </si>
  <si>
    <t>Ensileuse à maïs, (portée), 3 rangs</t>
  </si>
  <si>
    <t>Ensileuse à maïs, (portée), 4 rangs</t>
  </si>
  <si>
    <t>Ensileuse automotrice</t>
  </si>
  <si>
    <t>Pick-up et becs à maïs pour ensileuse automotrice</t>
  </si>
  <si>
    <t>bec à maïs 4 rangs</t>
  </si>
  <si>
    <t>bec à maïs 6 rangs</t>
  </si>
  <si>
    <t>becs à maïs 8 rangs</t>
  </si>
  <si>
    <t>Souffleur et Doseur</t>
  </si>
  <si>
    <t>Souffleur pour fourrage haché</t>
  </si>
  <si>
    <t>Souffleur polyvalent, moteur électrique, 11 kW (15 ch)</t>
  </si>
  <si>
    <t>Doseur</t>
  </si>
  <si>
    <t>Bande d'alimentation pour souffleur et doseur, 3-3,5 m</t>
  </si>
  <si>
    <t>Moteur diesel, d'occasion, pour souffleur pour fourrage  haché ou pour moulin,  175 kW (238 ch)</t>
  </si>
  <si>
    <t>Elévateur à bande et à chaîne</t>
  </si>
  <si>
    <t>Elévateur à bande, 6 m, moteur électrique, 1 kW (2 ch)</t>
  </si>
  <si>
    <t>Elévateur à bande, 10 m, moteur électr., 2 kW (3 ch)</t>
  </si>
  <si>
    <t>Elévateur à chaîne, 6 m, moteur électrique, 1 kW (2 ch)</t>
  </si>
  <si>
    <t>Elévateur à chaîne, 10 m, moteur électr., 2 kW (3 ch)</t>
  </si>
  <si>
    <t>Bande d'alimentation pour élévateur</t>
  </si>
  <si>
    <t>Elévateur pour silo-tour, 12,5 m, moteur électrique</t>
  </si>
  <si>
    <t>Reprise et distribution du fourrage</t>
  </si>
  <si>
    <t>Remorque mélangeuse, avec balance, 7 m3</t>
  </si>
  <si>
    <t>Remorque mélangeuse, avec balance, 10 m3</t>
  </si>
  <si>
    <t>Remorque mélangeuse, avec balance, 12 m3</t>
  </si>
  <si>
    <t>Remorque mélangeuse, avec balance, 14 m3</t>
  </si>
  <si>
    <t>Remorque mélangeuse, avec balance, 16 m3</t>
  </si>
  <si>
    <t>Désileuse distributrice pour silos-couloir, 1,5 m3, 3 points</t>
  </si>
  <si>
    <t>Désileuse par blocs pour silos-couloir, 1-1,4 m3</t>
  </si>
  <si>
    <t>Désileuse par blocs pour silos-couloir, 1,5-1,9 m3</t>
  </si>
  <si>
    <t>Machine à couper les balles rondes</t>
  </si>
  <si>
    <t>Dérouleur et distributeur de balles rondes</t>
  </si>
  <si>
    <t>11. Autres équipements de ferme</t>
  </si>
  <si>
    <t>Pailleuse</t>
  </si>
  <si>
    <t>Fraise pour bottes de paille, moteur électr., 5 kW (7 ch)</t>
  </si>
  <si>
    <t>Broyeur de paille</t>
  </si>
  <si>
    <t>Extincteur d'étincelles pour broyeur de paille</t>
  </si>
  <si>
    <t>Distributeur de paille, prise de force</t>
  </si>
  <si>
    <t>Outils de nettoyage</t>
  </si>
  <si>
    <t>Balayeuse, jusqu'à 2,25 m, attelage 3 points</t>
  </si>
  <si>
    <t>Divers outils</t>
  </si>
  <si>
    <t>Groupe électrogène, moteur diesel, 7 kW (9 ch) 4000 W</t>
  </si>
  <si>
    <t>Groupe électrogène entraîné par prise de force, 12 kW</t>
  </si>
  <si>
    <t>Transpalette</t>
  </si>
  <si>
    <t>Fourneau à mazout, 100 000 kcal, 120 kW, sans carburant</t>
  </si>
  <si>
    <t>Machine à coudre  les sacs</t>
  </si>
  <si>
    <t>Appareil à souder, électrique</t>
  </si>
  <si>
    <t>Balance électronique pour couloir de contention</t>
  </si>
  <si>
    <t>12. Travaux forestiers et engins de chantier</t>
  </si>
  <si>
    <t>Scies et fendeuses</t>
  </si>
  <si>
    <t>Scie circulaire, moteur électrique</t>
  </si>
  <si>
    <t>Scie circulaire, prise de force</t>
  </si>
  <si>
    <t>Fendeuse à bois pour petites bûches, hydraul., verticale</t>
  </si>
  <si>
    <t>Fendeuse à bois, prise de force</t>
  </si>
  <si>
    <t>Treuil pour fendeuse à bois</t>
  </si>
  <si>
    <t>Fendeuse à bois, traînée, prise de force</t>
  </si>
  <si>
    <t>Bouleuse à bois, 1 m3</t>
  </si>
  <si>
    <t>Scie-fendeuse à bois, prise de force</t>
  </si>
  <si>
    <t>Bande d' évacuation pour scie-fendeuse</t>
  </si>
  <si>
    <t>Ecorceuse-appointeuse de piquets</t>
  </si>
  <si>
    <t>Treuils et matériels de manutention</t>
  </si>
  <si>
    <t>Commande à distance pour treuil</t>
  </si>
  <si>
    <t>Commande à distance pour deux treuils</t>
  </si>
  <si>
    <t>Pince hydraulique à machoire</t>
  </si>
  <si>
    <t>Grappin, attelage 3 points</t>
  </si>
  <si>
    <t>Remorque forestière avec grue</t>
  </si>
  <si>
    <t>Déchiqueteuse à bois</t>
  </si>
  <si>
    <t>Machine à couper le bois, dès 5 cm</t>
  </si>
  <si>
    <t>Déchiqueteuse de bois, dès 5 mm</t>
  </si>
  <si>
    <t>Déchiqueteuse de bois à tambour pour plaquettes dès 5 mm</t>
  </si>
  <si>
    <t>Entreiten et plantation</t>
  </si>
  <si>
    <t>Broyeur forestier, jusqu'à 2,3 m</t>
  </si>
  <si>
    <t>Désoucheuse, prise de force</t>
  </si>
  <si>
    <t>Tarière, pour attelage 3 points</t>
  </si>
  <si>
    <t>Machine de chantier</t>
  </si>
  <si>
    <t>Bétonnière, prise de force</t>
  </si>
  <si>
    <t>Entretien</t>
  </si>
  <si>
    <t>Pompes à traiter</t>
  </si>
  <si>
    <t>Pulvérisateur porté avec ventilateur, réservoir 500 l</t>
  </si>
  <si>
    <t>Pulvérisateur traîné avec ventilateur, réservoir 1000 l</t>
  </si>
  <si>
    <t>Machines de récolte et transport</t>
  </si>
  <si>
    <t>Machine pour secouer les arbres fruitiers</t>
  </si>
  <si>
    <t>Secoueur d'arbres, entraînement hydraulique, att. 3 points</t>
  </si>
  <si>
    <t>Porte-paloxes pour la cueillette des fruits</t>
  </si>
  <si>
    <t>Pressoir hydraulique à paquet tournant, sur roues</t>
  </si>
  <si>
    <t>Outils divers</t>
  </si>
  <si>
    <t>Enfonce-pieux, jusqu' à 3,6 m</t>
  </si>
  <si>
    <t>Machine à équeuter les cerises</t>
  </si>
  <si>
    <t>Travail du sol et fumure</t>
  </si>
  <si>
    <t>Bêcheuse</t>
  </si>
  <si>
    <t>Entretien du sol</t>
  </si>
  <si>
    <t>Faucheuse à mulching avec décavaillonneuse, 1,3-2,1 m</t>
  </si>
  <si>
    <t>Epampreuse latérale à brosses</t>
  </si>
  <si>
    <t>Décavaillonneuse, latérale, hydraulique</t>
  </si>
  <si>
    <t>Soins à la vigne</t>
  </si>
  <si>
    <t>effeuilleuse à rouleaux, latérale</t>
  </si>
  <si>
    <t>Pulvérisateur porté, 200 à 300 l</t>
  </si>
  <si>
    <t>Vinification</t>
  </si>
  <si>
    <t>Egrappeuse, petite</t>
  </si>
  <si>
    <t>Egrappeuse, moyenne</t>
  </si>
  <si>
    <t>Pressoir, 850 l</t>
  </si>
  <si>
    <t>Pressoir, 1500 l</t>
  </si>
  <si>
    <t>Pressoir, 2000 l</t>
  </si>
  <si>
    <t>Décuveur</t>
  </si>
  <si>
    <t>Filtre à bourbes, 15 plaques</t>
  </si>
  <si>
    <t>Sulfidoseur, semi-automatique</t>
  </si>
  <si>
    <t>Tireuse, 8 becs - boucheuse liège</t>
  </si>
  <si>
    <t>Visseuse</t>
  </si>
  <si>
    <t>Etiqueteuse, semi-automatique</t>
  </si>
  <si>
    <t>Pompe centrifuge</t>
  </si>
  <si>
    <t>Pompe centrifuge avec variateur</t>
  </si>
  <si>
    <t>Pompe à vis excentrique</t>
  </si>
  <si>
    <t>Filtre à plaques, 20 plaques</t>
  </si>
  <si>
    <t>Cuve en acier inoxydable, 1000 l</t>
  </si>
  <si>
    <t>Cuve en acier inoxydable, 2500 l</t>
  </si>
  <si>
    <t>Cuve en acier inoxydable, 5000 l</t>
  </si>
  <si>
    <t>Unité de travail (UT):</t>
  </si>
  <si>
    <t>tonnes</t>
  </si>
  <si>
    <t>jours</t>
  </si>
  <si>
    <t>diesel</t>
  </si>
  <si>
    <t>essence</t>
  </si>
  <si>
    <t xml:space="preserve">   sans carburant</t>
  </si>
  <si>
    <t xml:space="preserve">       essence alkylat</t>
  </si>
  <si>
    <t xml:space="preserve"> - Sélectionnez une machine dans la feuille "Maschinenliste" (Liste de machines)</t>
  </si>
  <si>
    <t xml:space="preserve">Cliquez sur: </t>
  </si>
  <si>
    <t>Résumé (Combinaison de machines avec opérateur)</t>
  </si>
  <si>
    <t>Unité de travail</t>
  </si>
  <si>
    <t>Abréviation</t>
  </si>
  <si>
    <t>Balle rectangulaire, grande</t>
  </si>
  <si>
    <t>bal</t>
  </si>
  <si>
    <t>Balle ronde</t>
  </si>
  <si>
    <t>Balle haute densité, petite</t>
  </si>
  <si>
    <t>bot</t>
  </si>
  <si>
    <t>basculement hydraulique</t>
  </si>
  <si>
    <t>bh</t>
  </si>
  <si>
    <t>Bouteille</t>
  </si>
  <si>
    <t>col</t>
  </si>
  <si>
    <t>Charretée</t>
  </si>
  <si>
    <t>ch</t>
  </si>
  <si>
    <t>Essence</t>
  </si>
  <si>
    <t>ess.</t>
  </si>
  <si>
    <t>Hectare</t>
  </si>
  <si>
    <t>ha</t>
  </si>
  <si>
    <t>Hectolitre</t>
  </si>
  <si>
    <t>hl</t>
  </si>
  <si>
    <t>h</t>
  </si>
  <si>
    <t>Kilomètre</t>
  </si>
  <si>
    <t>km</t>
  </si>
  <si>
    <t>Mètre</t>
  </si>
  <si>
    <t>Mètre cube</t>
  </si>
  <si>
    <r>
      <t>m</t>
    </r>
    <r>
      <rPr>
        <vertAlign val="superscript"/>
        <sz val="11.5"/>
        <rFont val="Arial"/>
        <family val="2"/>
      </rPr>
      <t>3</t>
    </r>
  </si>
  <si>
    <t>moteur à essence</t>
  </si>
  <si>
    <t>mot.e.</t>
  </si>
  <si>
    <t>moteur à diesel</t>
  </si>
  <si>
    <t>mot.d.</t>
  </si>
  <si>
    <t>moteur électrique</t>
  </si>
  <si>
    <t>mot.el.</t>
  </si>
  <si>
    <t>Tonne</t>
  </si>
  <si>
    <t>t</t>
  </si>
  <si>
    <t>Abréviations</t>
  </si>
  <si>
    <t>Tracteur avec XY</t>
  </si>
  <si>
    <t xml:space="preserve">     Tarif horaire ci-dessous</t>
  </si>
  <si>
    <t>Véhicule à moteur B</t>
  </si>
  <si>
    <t>Machine B1</t>
  </si>
  <si>
    <t>Combinaison de machines avec opérateur B (résumé)</t>
  </si>
  <si>
    <t>1. Véhicules à moteur (*heures en temps effectif)</t>
  </si>
  <si>
    <t>Tracteurs (Standard)</t>
  </si>
  <si>
    <t>Tracteur 30-36 kW  (41-49 ch)</t>
  </si>
  <si>
    <t>Tracteur 37-44 kW  (50-60 ch)</t>
  </si>
  <si>
    <t>Tracteur 45-54 kW  (61-73 ch)</t>
  </si>
  <si>
    <t>Tracteur 55-64 kW  (74-87 ch)</t>
  </si>
  <si>
    <t>Tracteur 65-74 kW  (88-101 ch)</t>
  </si>
  <si>
    <t>Tracteur 75-89 kW  (102-121 ch)</t>
  </si>
  <si>
    <t>Tracteur  90-104 kW  (122-142 ch)</t>
  </si>
  <si>
    <t>Tracteur 105-124 kW  (143-169 ch)</t>
  </si>
  <si>
    <t>Tracteur 125-149 kW  (171-203 ch)</t>
  </si>
  <si>
    <t>Tracteur 150-199 kW  (204-271 ch)</t>
  </si>
  <si>
    <t>Roues jumelées pour tracteur (&lt;64kW), 
avant, 9.5 R 24/20</t>
  </si>
  <si>
    <t>Roues jumelées pour tracteur (&lt;64kW), 
arrière, 230/95 R 40/30</t>
  </si>
  <si>
    <t>Tracteur étroit, 4 roues motrices, 30 kW (40 ch)</t>
  </si>
  <si>
    <t>Tracteur étroit, 4 roues motrices, 45 kW (61 ch)</t>
  </si>
  <si>
    <t>Tracteur étroit, 4 roues motrices, 55 kW (75 ch)</t>
  </si>
  <si>
    <t>Transporteur à chenilles, me, 4 kW (5 ch)</t>
  </si>
  <si>
    <t>Faucheuse à 2 essieux, Diesel, 27 kW (41 ch)</t>
  </si>
  <si>
    <t>Faucheuse à 2 essieux, Diesel, 35 kW (48 ch)</t>
  </si>
  <si>
    <t>Faucheuse à 2 essieux, Diesel, 45 kW (61 ch)</t>
  </si>
  <si>
    <t>Faucheuse à 2 essieux, Diesel, 65 kW (88 ch)</t>
  </si>
  <si>
    <t xml:space="preserve"> char automoteur sans pont, 40 kW (54 ch)</t>
  </si>
  <si>
    <t xml:space="preserve"> char automoteur sans pont, 50 kW (68 ch)</t>
  </si>
  <si>
    <t xml:space="preserve"> char automoteur sans pont, 60 kW (82 ch)</t>
  </si>
  <si>
    <t xml:space="preserve"> char automoteur sans pont, 75 kW (102 ch)</t>
  </si>
  <si>
    <t>Chargeur étroit avec fourche à fumier crocodile,
   mot.d., 20 kW (27 ch)</t>
  </si>
  <si>
    <t xml:space="preserve"> Chargeur étroit avec fourche à fumier crocodile,
  mot.d., 44 kW (60 ch)</t>
  </si>
  <si>
    <t>Motofaucheuse, barre de coupe 1,9 m, 10 kW (13 ch)</t>
  </si>
  <si>
    <t xml:space="preserve"> Motofaucheuse, barre de coupe double lame, 
3,5 m, 20 kW (27 ch)  
avec équipement pour pente</t>
  </si>
  <si>
    <t>Tracteur-tondeuse, Largeur de coupe 90-120cm, 9 - 15 kW (13-20 cv)</t>
  </si>
  <si>
    <t>Tarière, moteur à essence, 4 kW (5 ch)</t>
  </si>
  <si>
    <t>Véhicule universel tout-terrain, 10 kW (14 ch)</t>
  </si>
  <si>
    <t>Véhicule universel tout-terrain, 15 kW (20 ch)</t>
  </si>
  <si>
    <t>Saleuse centrifuge, attelage 3 points, jusqu'à 600 l</t>
  </si>
  <si>
    <t>Barre de coupe voie large,  
double lame pour tracteur à 1 essieu</t>
  </si>
  <si>
    <t>Chars (charge utile)</t>
  </si>
  <si>
    <t>Remorque à essieux tandem, bh, 10 t</t>
  </si>
  <si>
    <t>Remorque à essieux tandem, bh, 15 t</t>
  </si>
  <si>
    <t>Remorque avec système d'entraînement</t>
  </si>
  <si>
    <t>Semoir monograine à betteraves, 6 rangs</t>
  </si>
  <si>
    <t>Semoir monograine à betteraves, 12 rangs</t>
  </si>
  <si>
    <t>Supplément micro-granulateur, 4-6 rangs, porté</t>
  </si>
  <si>
    <t>Herse de sarclage, hydraulique, 9 m</t>
  </si>
  <si>
    <t>Herse de sarclage, hydraulique, 12 m</t>
  </si>
  <si>
    <t>Bineuse à dents vibro, maïs, 4 rangs</t>
  </si>
  <si>
    <t>Butteuse pour pommes de terre, 4 rangs</t>
  </si>
  <si>
    <t>Sarcleuse étoile à betteraves, 6 rangs</t>
  </si>
  <si>
    <t xml:space="preserve">Epandeur à fumier latéral, 
porté, transporteur, 2,5 m3 </t>
  </si>
  <si>
    <t>Epandeur à fumier latéral, 
porté, transporteur, 3,5 m3</t>
  </si>
  <si>
    <t>Epandeur à fumier latéral, 5 m3</t>
  </si>
  <si>
    <t>Epandeur à fumier latéral, 7 m3</t>
  </si>
  <si>
    <t>Epandeur à fumier latéral, 8 m3</t>
  </si>
  <si>
    <t>Epandeur de fumier, monocoque,10 m3</t>
  </si>
  <si>
    <t>Epandeur de fumier, monocoque, 12 m3</t>
  </si>
  <si>
    <t>Pompe immergée mobile, mot.él.,commande à distance, 4 kW (5.5 ch)</t>
  </si>
  <si>
    <t>Pompe à un piston, à double effet, mot.él.,commande à distance</t>
  </si>
  <si>
    <t>Pompe à deux pistons, à double effet, mot.él.,commande à distance</t>
  </si>
  <si>
    <t>Pompe à trois pistons, à simple effet, mot.él.,commande à distance</t>
  </si>
  <si>
    <t>Pompe à piston rotatif, moteur élctrique, 15 kW/61 m3/h</t>
  </si>
  <si>
    <t xml:space="preserve"> Separateur avec pompe à lisier épais, moteurs électrique, 8 kW (11 ch)</t>
  </si>
  <si>
    <t>Tuyau à lisier acier, 100 m, ø 72 mm</t>
  </si>
  <si>
    <t>barre de coupe à colza, 5.40m</t>
  </si>
  <si>
    <t>barre de coupe à tournesol, 5.40m</t>
  </si>
  <si>
    <t>8. Récolte des pommes de terre, du tabac et des betteraves</t>
  </si>
  <si>
    <t>Défaneuse à pommes de terre, 1,8 m, 2 rangs</t>
  </si>
  <si>
    <t>Défaneuse à pommes de terre, 3 m, 4 rangs</t>
  </si>
  <si>
    <t>Brûleur au gaz propane, 3 m, 4 rangs</t>
  </si>
  <si>
    <t>Chargeuse à trémie, traînée, 13-20 m3</t>
  </si>
  <si>
    <t>Chargeuse à betteraves,  automotrice, moteur à diesel, 160 kW (218 ch)</t>
  </si>
  <si>
    <t>Décompacteur 3m</t>
  </si>
  <si>
    <t>Chisel avec rouleau émotteur, 2,5 m</t>
  </si>
  <si>
    <t>Herse rotative avec rouleau packer, 4 m</t>
  </si>
  <si>
    <t>Rouleau cannelé, 2,5 m, attelage 3 points</t>
  </si>
  <si>
    <t>Rouleau cannelé, 3 m, attelage 3 points</t>
  </si>
  <si>
    <t>Barre de coupe à double lame, 2,3 m</t>
  </si>
  <si>
    <t>Barre de coupe à double lame, 1,9 m</t>
  </si>
  <si>
    <t>Faucheuse-rotative combinée, 1 attelage avant, 2 attelages arrière, 8-10 m</t>
  </si>
  <si>
    <t>Faucheuse-conditionneuse frontale, 2,5-3 m</t>
  </si>
  <si>
    <t>Combinaison de fauche avec conditionneurs, 
frontal/axial, 5 - 5,8 m</t>
  </si>
  <si>
    <t xml:space="preserve">Combinaison de fauche avec conditionneurs, frontal/axial, 8-10m </t>
  </si>
  <si>
    <t>Autochargeuse pour transporteur, 13 m3 DIN</t>
  </si>
  <si>
    <t>Supplément pour doseur d' autochargeuse</t>
  </si>
  <si>
    <t>Presse à balles rondes, chambre fixe, 
1,4 m3 (foins, paille)</t>
  </si>
  <si>
    <t>Presse à balles rondes, vario, 2,1 m3 (foins, paille)</t>
  </si>
  <si>
    <t>Presse à balles rectangulaires, 1,4 m3</t>
  </si>
  <si>
    <t>Presse à balles rectangulaires, 2 m3</t>
  </si>
  <si>
    <t>Ensileuse à maïs, pivotante, 2 rangs</t>
  </si>
  <si>
    <t>Ensileuse automotrice, 360 kW (490 ch)</t>
  </si>
  <si>
    <t>Souffleuse-hacheuse avec moteur 
diesel d'occasion,  175 kW (238 ch)</t>
  </si>
  <si>
    <t>Remorque mélangeuse, avec balance, 25 m3</t>
  </si>
  <si>
    <t>Remorque désileuse-mélangeuse, 14 m3</t>
  </si>
  <si>
    <t>Remorque désileuse-mélangeuse, 16 m3</t>
  </si>
  <si>
    <t>Remorque désileuse-mélangeuse, 18 m3</t>
  </si>
  <si>
    <t>Moulin à marteaux pour grains humides, entraîné par    prise de force, p. att. 3 points, à partir de 36 kW (50 ch)</t>
  </si>
  <si>
    <t>Vis à grains, 6 m, mot.e., 1 kW (2 ch)</t>
  </si>
  <si>
    <t>Cage de contention (travail), basculante</t>
  </si>
  <si>
    <t>Fendeuse à bois, traînée, moteur à essence,   10 kW (14 ch)</t>
  </si>
  <si>
    <t>Faucheuse à mulching, axe vertical, 
2-3 m</t>
  </si>
  <si>
    <t>Faucheuse à mulching, axe vertical, 
bras pivotant unilatéral, 2-3 m</t>
  </si>
  <si>
    <t>Faucheuse à mulching, avec bras pivotant 
des deux côtés, 2-3,5 m</t>
  </si>
  <si>
    <t>Ramasseuse de fruits à cidre, 3 kW (4 ch)</t>
  </si>
  <si>
    <t>Ramasseuse de fruits à cidre, automoteur,   essence, 11 kW  (15 ch)</t>
  </si>
  <si>
    <t>Char de récolte pour 4 palox</t>
  </si>
  <si>
    <t>Plate-forme de cueillette, 
automotrice, moyenne, mot.électrique</t>
  </si>
  <si>
    <t>Plate-forme de cueillette, 
automotrice, lourde, mot.électrique</t>
  </si>
  <si>
    <t>Tapis-roulant pour la cueillette des fruits,  
moteur à essence, 8 kW (11 ch)</t>
  </si>
  <si>
    <t>Mototreuil, moteur à essence, 7 kW (9 ch)</t>
  </si>
  <si>
    <t>Motohoue, moteur à essence, 5 kW (7 ch)</t>
  </si>
  <si>
    <t>Fraise pour culture en plate-bande</t>
  </si>
  <si>
    <t>Epandeur à engrais sur fraise plate-bande</t>
  </si>
  <si>
    <t>Semis, plantation</t>
  </si>
  <si>
    <t>Semoir de type Sembner, 1.80 m</t>
  </si>
  <si>
    <t>Semoir de précision pour serre, 1.00m</t>
  </si>
  <si>
    <t>Planteuse à rampon, essence 3.5 kW, automoteur, 1.50 m, 2'500 pl./h</t>
  </si>
  <si>
    <t>Soin et Protection des plantes</t>
  </si>
  <si>
    <t>Sarcleuse à soc avec distributeur
d'engrais, 1.80 m</t>
  </si>
  <si>
    <t>Sarcleuse à doigts, 1.80m</t>
  </si>
  <si>
    <t>Pompe à traiter avec tuyau sur enrouleur, 
300 litres, essence 4 kW</t>
  </si>
  <si>
    <t>Récolte</t>
  </si>
  <si>
    <t>Récolteuse à oignons, 1.80 m</t>
  </si>
  <si>
    <t>Récolteuse à pommes-de-terre avec système 
de récolte pour oignons, 1.80 m</t>
  </si>
  <si>
    <t>Machine de récolte avec toit, 
(6.5 x 2.5 m, 10 palettes)</t>
  </si>
  <si>
    <t>Tapis de récolte pour machine à récolter, 8 m</t>
  </si>
  <si>
    <t>Récolteuse à salade, 1.80 m</t>
  </si>
  <si>
    <t>Tunnel de nettoyage pour légumes frais</t>
  </si>
  <si>
    <t>kilomètres</t>
  </si>
  <si>
    <t>mètre courant</t>
  </si>
  <si>
    <t xml:space="preserve"> - Si vous voulez, définissez le groupe de machines et insérez le manuellement dans le champ texte (p. ex. tracteur, remorque, charrue, etc.)</t>
  </si>
  <si>
    <t>Tab. 6: Données de base spécifiques aux machines</t>
  </si>
  <si>
    <t>Machine - Données de base</t>
  </si>
  <si>
    <t xml:space="preserve"> - le degré d'utilisation tient également compte du temps de service en dehors des travaux des champs.</t>
  </si>
  <si>
    <t xml:space="preserve"> - à partir d'une puissance de 95 kW hydraulique frontale et suspension de l'essieu avant inclus.</t>
  </si>
  <si>
    <t>Suppléments, resp. déductions carburants:</t>
  </si>
  <si>
    <t xml:space="preserve"> - pour les travaux relativement aisés (degré de sollicitation 20%), le tarif d'indemnisation doit être  </t>
  </si>
  <si>
    <t xml:space="preserve">   réduit de 15 - 20%.</t>
  </si>
  <si>
    <t xml:space="preserve"> - pour les lourds travaux (degré de sollicitation 60%), le tarif d'indemnisation doit être  </t>
  </si>
  <si>
    <t xml:space="preserve">   augmenté de 15 - 20%.</t>
  </si>
  <si>
    <t xml:space="preserve"> - plus le tracteur est puissant, plus la déduction ou le supplément sont élevés. </t>
  </si>
  <si>
    <t xml:space="preserve"> - Tracteurs agricoles transformés</t>
  </si>
  <si>
    <t xml:space="preserve"> - Sans hausses</t>
  </si>
  <si>
    <t xml:space="preserve"> - direction hydrostatique</t>
  </si>
  <si>
    <t xml:space="preserve"> - roues-cages</t>
  </si>
  <si>
    <t>Motofaucheuse, barre de coupe double lame, 
2,5 m, 12 kW (16 ch) avec équipement pour pente</t>
  </si>
  <si>
    <t xml:space="preserve"> - couteaux doubles, système Bidux</t>
  </si>
  <si>
    <t xml:space="preserve"> Motofaucheuse, barre de coupe double lame, 
3,5 m, 20 kW (27 ch) avec équipement pour pente</t>
  </si>
  <si>
    <t xml:space="preserve"> - rouleau hérisson, 4 rangs</t>
  </si>
  <si>
    <t xml:space="preserve"> - tous les calculs des outils sont basés sur une consommation d'essence alkylate </t>
  </si>
  <si>
    <t xml:space="preserve"> - Huile à chaînes comprise; consommation d'huile à chaînes: 0.32l/h</t>
  </si>
  <si>
    <t xml:space="preserve"> - Huile à chaîne comprise; consommation d'huile à chaînes: 0.54l/h</t>
  </si>
  <si>
    <t xml:space="preserve"> - Huile à chaînes comprise; consommation d'huile à chaînes: 0.63l/h</t>
  </si>
  <si>
    <t>Chars (données en charge utile)</t>
  </si>
  <si>
    <t xml:space="preserve"> - déclaration de poids correspond à la charge utile</t>
  </si>
  <si>
    <t xml:space="preserve"> - les tarifs d'indemnisation horaires s'appliquent également par charretée  (1 ch/h)</t>
  </si>
  <si>
    <t xml:space="preserve"> - Broyage du bois jusqu'à 5 cm d'epaisseur</t>
  </si>
  <si>
    <t xml:space="preserve"> - Les indemnités pour les pulvérisateurs sont valables pour les cultures basses de </t>
  </si>
  <si>
    <t xml:space="preserve">   plein champ; pour l'arboriculture fruitière, elles se rapportent à 4 hl de bouillie pulvérisée</t>
  </si>
  <si>
    <t xml:space="preserve"> - Masse volumétrique du fumier: 666 kg / m3</t>
  </si>
  <si>
    <t xml:space="preserve"> - le degré d'utilisation ne concerne que les heures de battage effectives; les temps de trajet ne sont pas </t>
  </si>
  <si>
    <t xml:space="preserve">   compris dans l'indemnité!</t>
  </si>
  <si>
    <t xml:space="preserve"> - Sans considération de la consommation supplémentaire de carburant.</t>
  </si>
  <si>
    <t>Brûleur au gaz propane, 
3 m, 4 rangs</t>
  </si>
  <si>
    <t xml:space="preserve"> - Consommation de gaz de propane par ha: 110 kg</t>
  </si>
  <si>
    <t xml:space="preserve"> - Pour les récolteuses totales avec plate-forme d'ensachage, on déduira, et pour </t>
  </si>
  <si>
    <t xml:space="preserve">   celles avec trémie à fond mouvant, on ajoutera Fr. 40.-/ha au taux prévu pour une </t>
  </si>
  <si>
    <t xml:space="preserve">   machine à trémie basculante </t>
  </si>
  <si>
    <t>Récolteuse de tabac, 2-rangs, avec élévateur, moteur à essence, (12ch)</t>
  </si>
  <si>
    <t xml:space="preserve"> - Indemnité par ha et passage</t>
  </si>
  <si>
    <t xml:space="preserve"> - voir tableau 9</t>
  </si>
  <si>
    <t xml:space="preserve"> - voir tableaux 7 et 8</t>
  </si>
  <si>
    <t xml:space="preserve"> - le degré d'utilisation ne concerne que les heures de tambour effectifves; les temps de trajet ne sont pas </t>
  </si>
  <si>
    <t>Pulvérisateurs arboricoles</t>
  </si>
  <si>
    <t xml:space="preserve"> - Les indemnités pour les pulvérisateurs sont valables pour les cultures basses de</t>
  </si>
  <si>
    <t xml:space="preserve">   plein champ; pour l'arboriculture fruitière, elles se rapportent à 4 hl de bouillie pulvérisée.</t>
  </si>
  <si>
    <t xml:space="preserve"> - avec mécanisme rotatif et relevage latéral </t>
  </si>
  <si>
    <t>Compresseur pneumatique, mot.e.,  2 kW (3 ch), 2 sécateurs</t>
  </si>
  <si>
    <t xml:space="preserve"> - Choisissez ensuite la main-d’œuvre, resp. les coûts de l’opérateur (tarif horaire). &gt; D21 resp. L21</t>
  </si>
  <si>
    <t xml:space="preserve"> - Choisissez une capacité de travail individuelle (cellule D9 resp. L9)</t>
  </si>
  <si>
    <t xml:space="preserve"> - Le résultat total apparaît juste en dessous en deux unités de travail; un forfait de déplacement peut être ajouté si souhaité.</t>
  </si>
  <si>
    <t xml:space="preserve">   Pour les tracteurs en feuille "Maschinenliste" colonne D.</t>
  </si>
  <si>
    <t xml:space="preserve"> - Saisie individuelle de la puissance en kW aux véhicules à moteur (tracteurs):</t>
  </si>
  <si>
    <t>&gt; Saisie roues jumelées cellule G10 et G11 ; système hydraulique frontal avec prise de force (optional) doit être inclus manuellement en prix d'achat.</t>
  </si>
  <si>
    <t>Motorfahrzeuge mit potentieller Doppelbereifung</t>
  </si>
  <si>
    <t xml:space="preserve">Attention: ce calcul donne une vue d'ensemble simplifiée des conséquences financières d'une communauté de machines. </t>
  </si>
  <si>
    <t xml:space="preserve">             Il ne remplace PAS le logiciel et le contrat pour les communautés de machines d'AGRIDEA </t>
  </si>
  <si>
    <t>http://www.agridea-lindau.ch/software/fachgebiete/index.htm</t>
  </si>
  <si>
    <t xml:space="preserve"> &gt;&gt; Software Mechanisierung</t>
  </si>
  <si>
    <t>Datum:</t>
  </si>
  <si>
    <t>Données individuelles plus bas</t>
  </si>
  <si>
    <t>Coûts de revient par associé (sans les coûts admnistratifs)</t>
  </si>
  <si>
    <t xml:space="preserve">      Teilhaber1 (Maschinenverwalter mit Maschinenstandort)</t>
  </si>
  <si>
    <t xml:space="preserve">      Teilhaber2</t>
  </si>
  <si>
    <t xml:space="preserve">      Teilhaber3</t>
  </si>
  <si>
    <t xml:space="preserve">      Teilhaber4</t>
  </si>
  <si>
    <t>Valeur résiduelle probable par associé (en cas d'échange/ de vente de la machine)</t>
  </si>
  <si>
    <t>Total des indemnisations auxquelles a droit celui qui gère la machine</t>
  </si>
  <si>
    <t>Amortissement annuel et intérêts (total)</t>
  </si>
  <si>
    <t xml:space="preserve">Coûts totaux par unité de travail, y compris coûts administratifs et recettes de la location </t>
  </si>
  <si>
    <t>Valeur personnelle (prioritaire)</t>
  </si>
  <si>
    <t>Intérêts calculés de la part de financement</t>
  </si>
  <si>
    <t>Avoir en fonction de la part de financement par associé, intérêts compris</t>
  </si>
  <si>
    <t>Finanzierungsanteil Fr. (exkl. Zins)</t>
  </si>
  <si>
    <t>Avoir annuel total</t>
  </si>
  <si>
    <t>Paiement compensatoire par associé</t>
  </si>
  <si>
    <t>Calcul machine</t>
  </si>
  <si>
    <t>Unité de travail (UT)</t>
  </si>
  <si>
    <t xml:space="preserve">   Associé2</t>
  </si>
  <si>
    <t>Fr. par an</t>
  </si>
  <si>
    <t>Coûts de revient pour la machine</t>
  </si>
  <si>
    <t xml:space="preserve">   Associé3</t>
  </si>
  <si>
    <t xml:space="preserve">   Associé4</t>
  </si>
  <si>
    <t>Coûts administratifs annuels du détenteur de la machine</t>
  </si>
  <si>
    <t xml:space="preserve">   - moins les recettes tirées de la location</t>
  </si>
  <si>
    <t>Coûts pour le gérant de la machine (Associé1, emplacement de machine)</t>
  </si>
  <si>
    <t>de la part de financement</t>
  </si>
  <si>
    <t>(=amortissement sans valeur résiduelle + intérêt calculé)</t>
  </si>
  <si>
    <t xml:space="preserve">   Associé1=gérant de la machine (avec emplacement de la machine)</t>
  </si>
  <si>
    <t xml:space="preserve"> 2. Saisie de l'utilisation anuelle pour chaque associé (nombre d'heures, hectares, charrétées etc.) - la somme correspond à l'utilisation annuelle totale de la machine sans locations.</t>
  </si>
  <si>
    <t>Mètre courant</t>
  </si>
  <si>
    <t>mc</t>
  </si>
  <si>
    <t>Indications personelles (part I)</t>
  </si>
  <si>
    <t>Indications personelles (part II)</t>
  </si>
  <si>
    <t>saisie valeur effective</t>
  </si>
  <si>
    <t>saisie valeur effective (total)</t>
  </si>
  <si>
    <t>Maschinen mit Hilfsstoffen</t>
  </si>
  <si>
    <t>pour toutes les années</t>
  </si>
  <si>
    <t xml:space="preserve">   Utilisation ancienne Ass.1 (gérant de la machine)</t>
  </si>
  <si>
    <t xml:space="preserve">Fr. coûts de réparations </t>
  </si>
  <si>
    <t>Coûts de réparation dans l'année calendaire</t>
  </si>
  <si>
    <t>Clef de répartition des coûts de réparation (seulement, si l'utilisation des associés est irrégulière)</t>
  </si>
  <si>
    <t xml:space="preserve">Mode de paiement, voir commentaire dans </t>
  </si>
  <si>
    <t xml:space="preserve"> 1. Saisie du montant financement par associé -  la somme correspond au prix d'achat de la machine! </t>
  </si>
  <si>
    <t>Doppelbereifung</t>
  </si>
  <si>
    <t>vorne</t>
  </si>
  <si>
    <t>hinten</t>
  </si>
  <si>
    <t>Coûts de revient par associé (brut)</t>
  </si>
  <si>
    <t xml:space="preserve">      Teilhaber5</t>
  </si>
  <si>
    <t xml:space="preserve">   Associé5</t>
  </si>
  <si>
    <t xml:space="preserve">      Teilhaber6</t>
  </si>
  <si>
    <t xml:space="preserve">   Associé6</t>
  </si>
  <si>
    <t>cellule B140</t>
  </si>
  <si>
    <t>Coûts fixes du financement commun:</t>
  </si>
  <si>
    <t>Prix d'achat, contribution..</t>
  </si>
  <si>
    <t xml:space="preserve">   Associé1=gérant de la machine, avec emplacement</t>
  </si>
  <si>
    <t xml:space="preserve">   Utilisation ancienne</t>
  </si>
  <si>
    <t>Litre*100 / kWh</t>
  </si>
  <si>
    <t>Tracteur 200-250 kW  (272-340 ch)</t>
  </si>
  <si>
    <t>Roues jumelées pour tracteur (&gt;65kW), 
avant, 270/95 R 32/24</t>
  </si>
  <si>
    <t>Roues jumelées pour tracteur (&gt;65kW), 
arrière, 230/95 R 44/34</t>
  </si>
  <si>
    <t>Tracteurs spécialisés et/ou à chenilles</t>
  </si>
  <si>
    <t>Tracteur articulé, 40 kW (55 ch)</t>
  </si>
  <si>
    <t>Tracteur articulé, 50 kW (68 ch)</t>
  </si>
  <si>
    <t>Tracteur articulé, 65 kW (88 ch)</t>
  </si>
  <si>
    <t>Chenillette, mot.d., 18 kW (24 ch)</t>
  </si>
  <si>
    <t>Chenillette avec dispositif de levage, 
mot.d., 25 kW (34 ch)</t>
  </si>
  <si>
    <t>Chenillette, mot.d., 44 kW (60 ch)</t>
  </si>
  <si>
    <t>Faucheuse à 2 essieux, Diesel, 70 kW (95 ch)</t>
  </si>
  <si>
    <t>Roues jumelées pour transporteur
ou fauchese à 2 essieux</t>
  </si>
  <si>
    <t>Véhicule tout-terrain, pick-up, mot. à diesel, 125 kW (170 ch)</t>
  </si>
  <si>
    <t>Véhicule tout-terrain, mot. à diesel, 140 kW (190 ch)</t>
  </si>
  <si>
    <t>Fraise à lames 90-110cm</t>
  </si>
  <si>
    <t>Fraise à neige, 60-85cm</t>
  </si>
  <si>
    <t>Sous-soleuse, profondeur de travail   70 cm</t>
  </si>
  <si>
    <t>Herse de prairie 4 m</t>
  </si>
  <si>
    <t>Herse de prairie 6 m</t>
  </si>
  <si>
    <t xml:space="preserve">Exterminateur de campagnols, essence, 2 kW (3 ch)  </t>
  </si>
  <si>
    <t>Faucheuse de refus, frontale/axiale, -3.5 m</t>
  </si>
  <si>
    <t>Pulvérisateur porté, rampe 21 m, réservoir 1000 l</t>
  </si>
  <si>
    <t xml:space="preserve">Epandeur à fumier latéral, 
porté, transporteur, 4,5 m3 </t>
  </si>
  <si>
    <t>Epandeur universel, 14 m3</t>
  </si>
  <si>
    <t>Epandeur universel, 16 m3</t>
  </si>
  <si>
    <t>Epandeur universel, 21 m3</t>
  </si>
  <si>
    <t>Citerne avec pompe, portée pour transporteur, 3000 l</t>
  </si>
  <si>
    <t>Citerne avec pompe, portée pour transporteur, 3500 l</t>
  </si>
  <si>
    <t>Pompe à vis sans fin, moteur électrique, 15 kW (20 ch); Agropilot</t>
  </si>
  <si>
    <t>Moissonneuse-batt. (350 ch, 257 kW), à 6-7 m</t>
  </si>
  <si>
    <t>Ensileuse , automotrice, 280 kW (380 ch)</t>
  </si>
  <si>
    <t>Nettoyeur haute pression, mot. él., 8 kW (11 ch), - 200 bar</t>
  </si>
  <si>
    <t xml:space="preserve"> Nettoyeur haute pression à eau chaude, moteur   électrique, 7.8 kW (11 ch), jusqu'à 200 bar</t>
  </si>
  <si>
    <t>Treuil porté, force de traction, 4 t</t>
  </si>
  <si>
    <t>Treuil porté, force de traction, 6.5 t</t>
  </si>
  <si>
    <t>Engin de débardage avec treuil</t>
  </si>
  <si>
    <t>Ramasseur du bois, 1 côté</t>
  </si>
  <si>
    <t>Sarcleuse pour rangée d'arbre, un côté, 
avec bras tâteur (type Ladurner)</t>
  </si>
  <si>
    <t>Sarcleuse pour rangée d'arbre, 2 côtés, 
avec bras tâteur (type Ladurner)</t>
  </si>
  <si>
    <t>Sarcleuse pour rangée d'arbre un côté, 
sans bras (type Sandi)</t>
  </si>
  <si>
    <t>Outil à fil pour éclaircissage</t>
  </si>
  <si>
    <t>Coupe-racines, 1 côté, hydraulique</t>
  </si>
  <si>
    <t>Rampe à herbicide, 1 côté, hydraulique</t>
  </si>
  <si>
    <t>Rampe à herbicide, 2 côtés, hydraulique</t>
  </si>
  <si>
    <t>Réservoir à herbicide semi-porté, 400 l</t>
  </si>
  <si>
    <t>Char de récolte pour 1 palox (2 essieux)</t>
  </si>
  <si>
    <t>Char de récolte pour 1 palox (1 essieu)</t>
  </si>
  <si>
    <t xml:space="preserve">Plate-forme de cueillette simple, 
automotrice, leger, mot.électrique </t>
  </si>
  <si>
    <t>Plate-forme de travail pour hautes-tiges</t>
  </si>
  <si>
    <t>Trancheuse pour plantation d'arbres
 sous filet anti-grêle</t>
  </si>
  <si>
    <t>Epandeur à compost arboricole, 3m3</t>
  </si>
  <si>
    <t>Plate-forme pour le montage de filets
 sur les cerisiers</t>
  </si>
  <si>
    <t>Outils pour le montage de filets 
contre les intempéries (cerises)</t>
  </si>
  <si>
    <t>Outils pour la pose de filet sur les petits fruits
 (1 à 3 rangs, sans le filet)</t>
  </si>
  <si>
    <t>14. Viticulture et Vinification (Pour vignerons-encaveurs avec 3-6 ha de vigne)</t>
  </si>
  <si>
    <t>Cultivateur, sans entraînement, 1,5 m</t>
  </si>
  <si>
    <t>Fraise, 1,25 m</t>
  </si>
  <si>
    <t>Herse rotative, 1,25 m</t>
  </si>
  <si>
    <t>Epandeur à compost, 3m3</t>
  </si>
  <si>
    <t>Broyeur pour chenillette 1,2 - 1,5m</t>
  </si>
  <si>
    <t>Broyeur sur chenilles, moteur à essence, 
7 kW (10 ch)</t>
  </si>
  <si>
    <t>Tondeuse, moteur à essence, 8 kW (11 ch)</t>
  </si>
  <si>
    <t>Débroussaileuse portée, 1,5 m</t>
  </si>
  <si>
    <t>Décavaillonneuse pour tracteur, bilatérale, hydraulique</t>
  </si>
  <si>
    <t>Epareuse à bras, attelage 3 points, 0,8 - 1 m</t>
  </si>
  <si>
    <t>Cisailleuse en U, 1 rang</t>
  </si>
  <si>
    <t>Effeuilleuse à rouleaux, latérale</t>
  </si>
  <si>
    <t>Sécateur électrique avec batterie</t>
  </si>
  <si>
    <t>Compresseur pneumatique, attelage 3 points, 2 sécateurs</t>
  </si>
  <si>
    <t>Pulvérisateur porté sur véhicule, 100 à 150 l,   moteur à essence, 6.5 kW (9 ch)</t>
  </si>
  <si>
    <t>Pulvérisateur traîné, 600 l</t>
  </si>
  <si>
    <t>Tireuse, 8 becs - boucheuse liège - 
capsules à vis</t>
  </si>
  <si>
    <t>Etiqueteuse, automatique, 850 cols/h</t>
  </si>
  <si>
    <t>Désignation et description sommaire</t>
  </si>
  <si>
    <t>de la machine</t>
  </si>
  <si>
    <t>Puiss. Ou</t>
  </si>
  <si>
    <t>capacité</t>
  </si>
  <si>
    <t>de travail</t>
  </si>
  <si>
    <t>prise</t>
  </si>
  <si>
    <t xml:space="preserve">comme </t>
  </si>
  <si>
    <t>base</t>
  </si>
  <si>
    <t>Prix</t>
  </si>
  <si>
    <t>Indemnité à demander pour la machine en question, sans service et sans TVA</t>
  </si>
  <si>
    <t>d'achat</t>
  </si>
  <si>
    <t>moyen</t>
  </si>
  <si>
    <t xml:space="preserve"> Utilisation de x %</t>
  </si>
  <si>
    <t xml:space="preserve"> (valeur résiduelle constante)</t>
  </si>
  <si>
    <t>Référence</t>
  </si>
  <si>
    <t>Utilisation</t>
  </si>
  <si>
    <t>Degré</t>
  </si>
  <si>
    <t>annuelle</t>
  </si>
  <si>
    <t>de</t>
  </si>
  <si>
    <t>charge</t>
  </si>
  <si>
    <t>comme</t>
  </si>
  <si>
    <t>du</t>
  </si>
  <si>
    <t>moteur</t>
  </si>
  <si>
    <t>Fr./UT</t>
  </si>
  <si>
    <t>Durée utile</t>
  </si>
  <si>
    <t>d'amor-</t>
  </si>
  <si>
    <t>technique</t>
  </si>
  <si>
    <t>tissment</t>
  </si>
  <si>
    <t>années</t>
  </si>
  <si>
    <t>valeur</t>
  </si>
  <si>
    <t>rési-</t>
  </si>
  <si>
    <t xml:space="preserve"> duelle</t>
  </si>
  <si>
    <t>FRE-</t>
  </si>
  <si>
    <t>de répa-</t>
  </si>
  <si>
    <t>ration et</t>
  </si>
  <si>
    <t>entretien</t>
  </si>
  <si>
    <t>(d'après le
travail</t>
  </si>
  <si>
    <t>exécuté)</t>
  </si>
  <si>
    <t>Encom-</t>
  </si>
  <si>
    <t>brement</t>
  </si>
  <si>
    <t>Facteur de réparation et entretien</t>
  </si>
  <si>
    <t>Réparations et entretien</t>
  </si>
  <si>
    <t>Réparations, Entretien</t>
  </si>
  <si>
    <t>Le programme permet au maximum de calculer 8 machines dans 8 blocs de saisie (dont deux véhicules à moteur)</t>
  </si>
  <si>
    <t>Carburant / Additifs</t>
  </si>
  <si>
    <t>Hilfsstoffberechnung für Motorsäge (Kettenöl)</t>
  </si>
  <si>
    <t>Mistzetter Fuder statt t</t>
  </si>
  <si>
    <t>Tracteurs (standard)</t>
  </si>
  <si>
    <t xml:space="preserve"> - Produit d'enfumage 0.07 l à Fr. 6.-; essence 4 l à Fr. 1.76; total Fr. 7.46 / h</t>
  </si>
  <si>
    <t xml:space="preserve"> - La puissance de travail en vol. m3 se réfère au mètre cube réel</t>
  </si>
  <si>
    <t xml:space="preserve"> - Coûts ruban en acier Fr. 214.- pour 100 bottes de bois de 1m3 </t>
  </si>
  <si>
    <t xml:space="preserve">   = Fr. 2.14 / botte</t>
  </si>
  <si>
    <t xml:space="preserve"> - Réparation et entretien sont ensemble dans une position.</t>
  </si>
  <si>
    <t xml:space="preserve"> - Saisie manuelle pour les coûts des produits auxiliaires.</t>
  </si>
  <si>
    <t xml:space="preserve"> - plus des indications et avertissements</t>
  </si>
  <si>
    <t>Nouveau Version 4:</t>
  </si>
  <si>
    <t>Combinaison de machines avec roues jumelées est possible avec des unités de travail comme hectares, charretées, m3 etc.</t>
  </si>
  <si>
    <t>Motofaucheuse pour viticulture, mot.e. 5 kW (7 ch)</t>
  </si>
  <si>
    <t>Fraise à neige, mot.e., 10 kW (14 ch)</t>
  </si>
  <si>
    <t>Ecorceuse à tambour, avec tronçonneuse, 4 kW (5 ch)</t>
  </si>
  <si>
    <t>Débroussailleuse polyvalente avec assortiment  d'outils, 2, kW (3 ch)</t>
  </si>
  <si>
    <t>Atomiseur à dos, 12 l, moteur à essence, 2 kW (3ch)</t>
  </si>
  <si>
    <t>Chargeur frontal, lourd, de plus de 66 kW (90 ch)</t>
  </si>
  <si>
    <t>Fourche à fumier pour chargeur frontal, 1,7-2 m</t>
  </si>
  <si>
    <t>Fraise à neige pour tracteur de 41-80 kW (56-109 ch)</t>
  </si>
  <si>
    <t>Chaînes à neige (paire) pour tracteur, pneus avant 280-440 R 24"</t>
  </si>
  <si>
    <t>Chaînes à neige (paire) pour tracteur, pneus arrière 420-540 R 34"</t>
  </si>
  <si>
    <t>Andaineur frontal à dents, système "Rake", 2m</t>
  </si>
  <si>
    <t>Broyeur à fléaux, 90-110 cm</t>
  </si>
  <si>
    <t>Vibroculteur avec rouleau émotteur, repliable, 4 m</t>
  </si>
  <si>
    <t>Vibroculteur avec rouleau émotteur, repliable, 6 m</t>
  </si>
  <si>
    <t>Fraise en ligne (pour maïs), 4 rangs</t>
  </si>
  <si>
    <t>Semoir pneumatique, porté, 4 m</t>
  </si>
  <si>
    <t>Planteuse à pommes de terre, système "all-in-one"</t>
  </si>
  <si>
    <t xml:space="preserve">   à prise de force et sous-soleuse 3m</t>
  </si>
  <si>
    <t xml:space="preserve">   herse rotative pdf et semoir 4 m</t>
  </si>
  <si>
    <t xml:space="preserve">   Fraise en ligne - semoir monograine à maïs, 
4 rangs - distributeur d'engrais en ligne - 
pulvérisateur en ligne -dispositif d'attelage 
supplémentaire pour semoir</t>
  </si>
  <si>
    <t>Séparateur de sol pour pommes de terre, 2 rangs</t>
  </si>
  <si>
    <t>Herse-étrille, 3 m</t>
  </si>
  <si>
    <t>Herse-étrille, repliable, 6 m</t>
  </si>
  <si>
    <t>Epareuse à bras, attelage 3 points, 800 kg</t>
  </si>
  <si>
    <t>Epareuse à bras, attelage 3 points, 1500 kg</t>
  </si>
  <si>
    <t>3000 l, portée pour transporteur, 
avec disp. d'épandage à tuyaux souples, 5 m</t>
  </si>
  <si>
    <t>Mixeur à lisier, commande à prise de force, 4-6 m</t>
  </si>
  <si>
    <t>Pompe d'arrosage électrique 22 - 30 kW (30-40 ch)</t>
  </si>
  <si>
    <t xml:space="preserve">Moissonneuse-batt. (170 ch, 125 kW), à 4,2-4,8 m </t>
  </si>
  <si>
    <t>Moissonneuse-batt.  (204 ch, 150 kW), à 4,8-5,2 m</t>
  </si>
  <si>
    <t>Moissonneuse-batt. (238 ch, 175 kW), à 5,2-6 m</t>
  </si>
  <si>
    <t>Moissonneuse-batt. (299 ch, 220 kW), à 5,2-6 m</t>
  </si>
  <si>
    <t>Moissonneuse-batt. (400 ch, 294 kW), à 7-8 m</t>
  </si>
  <si>
    <t>Récolt. totale de betteraves sucrières, traînée, 2 rang</t>
  </si>
  <si>
    <t>Récolteuse totale de betteraves, automotrice,   6 rangs, 24 m3, moteur à diesel, 265 kW (360 ch)</t>
  </si>
  <si>
    <t>Remorque avec paroi mobile, 20 m3 DIN</t>
  </si>
  <si>
    <t>Presse à petites balles rondes, avec ficelle, ø 0,5 m, 0,14 m3</t>
  </si>
  <si>
    <t>10. AJ63Stockage, reprise et distribution du fourrage</t>
  </si>
  <si>
    <t>Mélangeuse de fourrages, moteur électrique, 4 kW (5 ch)</t>
  </si>
  <si>
    <t>Installation de contention pour bovin</t>
  </si>
  <si>
    <t>Installation de contention pour bovin, mobil</t>
  </si>
  <si>
    <t>Treuil porté, force de traction, 8 t</t>
  </si>
  <si>
    <t>Treuil double - tambour, 
force de traction 2 x 6t</t>
  </si>
  <si>
    <t>13. Arboriculture fruitière</t>
  </si>
  <si>
    <t>Décavailloneuse latérale pour tracteur avec tateur</t>
  </si>
  <si>
    <t>Pistolet attacheur, électrique avec accu</t>
  </si>
  <si>
    <t>Filtre tangentiel (10m2)</t>
  </si>
  <si>
    <t>Filtre à cartouches</t>
  </si>
  <si>
    <t>Flottateur</t>
  </si>
  <si>
    <t>Cuve en acier inoxydable, 10 000 l</t>
  </si>
  <si>
    <t>Fût en bois, 2000 l</t>
  </si>
  <si>
    <t>Fût en bois, 4000 l</t>
  </si>
  <si>
    <t>Barrique, 225 l</t>
  </si>
  <si>
    <t>15. Cultures maraîchères</t>
  </si>
  <si>
    <t>bottes</t>
  </si>
  <si>
    <t>Rép.,</t>
  </si>
  <si>
    <t>Produits aux.</t>
  </si>
  <si>
    <t>fixes</t>
  </si>
  <si>
    <t>Coûts</t>
  </si>
  <si>
    <t xml:space="preserve"> - Dans la feuille "Résumé" (lien sous les blocs de saisie, ligne 251), indiquez une désignation pour le procédé (p. ex. tracteur avec charrue 4 socs).</t>
  </si>
  <si>
    <t>Motofaucheuse, barre de coupe 1,6 m, 6,6 kW (9 ch)</t>
  </si>
  <si>
    <t>Motofaucheuse, barre de coupe double lame, 
2,3 m, 12 kW (16 ch)  
avec équipement pour pente</t>
  </si>
  <si>
    <t>Chargeur frontal, léger, jusqu'à 48KW (65 ch)</t>
  </si>
  <si>
    <t>Saleuse-sableuse à assiettes, 1000-1400 l</t>
  </si>
  <si>
    <t>Abreuvoir mobile, 1000 l</t>
  </si>
  <si>
    <t xml:space="preserve">   Semoir combiné avec matériel 2.5 m</t>
  </si>
  <si>
    <t>Enrubanneuse pour balles rondes, 
attelage 3 points, ø 1,2 m, 1,4 m3</t>
  </si>
  <si>
    <t>Enrubanneuse pour balles rondes,
trainée, ø 1,5 m, 2.1 m3</t>
  </si>
  <si>
    <t>Remorque désileuse-mélangeuse avec système de coupe et balance, 7 m3</t>
  </si>
  <si>
    <t>Remorque désileuse-mélangeuse avec système de coupe et balance, 10 m3</t>
  </si>
  <si>
    <t>Remorque désileuse-mélangeuse avec système de coupe et blance, 12 m3</t>
  </si>
  <si>
    <t>Groupe électrogène, mot.e., 4 kW (5 ch), 3500 W</t>
  </si>
  <si>
    <t>Distributeur d'engrais centrifuge avec déflecteur, 500 l</t>
  </si>
  <si>
    <t>Semoir monograine pour légumes, 4-rangs.</t>
  </si>
  <si>
    <t>Planteuse méc., 4 rangs, 1.80m</t>
  </si>
  <si>
    <t>Planteuse de type "Bändchen", 4-rangs, 1.80 m</t>
  </si>
  <si>
    <t>Planteuse de type "Spidy", 4-rangs, 1.80 m</t>
  </si>
  <si>
    <t>Récolteuse de carottes, 1 rang, att. 3-points</t>
  </si>
  <si>
    <t>TractoScope - Programme de calcul Coûts-machines</t>
  </si>
  <si>
    <t>TracSharing</t>
  </si>
  <si>
    <t>Fr./ h</t>
  </si>
  <si>
    <t>Fr. par</t>
  </si>
  <si>
    <t>h/UT</t>
  </si>
  <si>
    <t xml:space="preserve"> =UT</t>
  </si>
  <si>
    <t>Utilisation annuelle</t>
  </si>
  <si>
    <t>Seuil d'achat</t>
  </si>
  <si>
    <t>Tractoscope calcul du seuil d'achat</t>
  </si>
  <si>
    <t xml:space="preserve"> - Coûts du matériel auxiliaire: 16 kg de liens à 4.32; agrafes Fr. 14.40: </t>
  </si>
  <si>
    <t xml:space="preserve">   Fr. 84.-/ha</t>
  </si>
  <si>
    <r>
      <t xml:space="preserve">TracSharing </t>
    </r>
    <r>
      <rPr>
        <b/>
        <sz val="11"/>
        <rFont val="Arial Black"/>
        <family val="2"/>
      </rPr>
      <t>(Programme de calcul pour communauté de machines)</t>
    </r>
  </si>
  <si>
    <t>(pour l'achat ou pour exécuter soi-même)</t>
  </si>
  <si>
    <t xml:space="preserve">Coûts fixes </t>
  </si>
  <si>
    <t xml:space="preserve">Coûts variables </t>
  </si>
  <si>
    <t>Tarif externe (Fr./UT)</t>
  </si>
  <si>
    <t>Main d'oeuvre var.</t>
  </si>
  <si>
    <t>Tracteur var.</t>
  </si>
  <si>
    <t>Machine Var.</t>
  </si>
  <si>
    <t>Tarif externe /an</t>
  </si>
  <si>
    <t>Coûts par UT</t>
  </si>
  <si>
    <t>Coûts var. par UT</t>
  </si>
  <si>
    <t>Acheter ou louer? Déléguer les travaux ou les faire soi-même?</t>
  </si>
  <si>
    <t>Nouveau: Version 5:</t>
  </si>
  <si>
    <t>Quand vaut-il la peine d'acheter la machine? Calculez ici, si l'achat d'une machine vaut la peine avec un degré d'utilisation donnée ou s'il est plus rentable</t>
  </si>
  <si>
    <t>de louer la machine ou même de déléguer les travaux à une entreprise de travaux agricoles (lorsque c'est possible).</t>
  </si>
  <si>
    <t>Accès au calculateur de seuil d'achat</t>
  </si>
  <si>
    <t xml:space="preserve">Allez sur la feuille "Calcul des machines" et définissez d'abord si vous voulez calculer une seule machine  </t>
  </si>
  <si>
    <r>
      <t xml:space="preserve">(acheter ou louer une machine?) &gt; </t>
    </r>
    <r>
      <rPr>
        <sz val="10"/>
        <color indexed="10"/>
        <rFont val="Arial"/>
        <family val="2"/>
      </rPr>
      <t xml:space="preserve">choisissez  1 </t>
    </r>
    <r>
      <rPr>
        <sz val="10"/>
        <rFont val="Arial"/>
        <family val="2"/>
      </rPr>
      <t xml:space="preserve"> ou tout un procédé de travail</t>
    </r>
  </si>
  <si>
    <r>
      <t>(faire les travaux seul ou déléguer en  externe) &gt;</t>
    </r>
    <r>
      <rPr>
        <sz val="10"/>
        <color indexed="10"/>
        <rFont val="Arial"/>
        <family val="2"/>
      </rPr>
      <t xml:space="preserve"> choisissez 2 </t>
    </r>
    <r>
      <rPr>
        <sz val="10"/>
        <rFont val="Arial"/>
        <family val="2"/>
      </rPr>
      <t xml:space="preserve">  </t>
    </r>
  </si>
  <si>
    <t>Cliquez ici pour faire votre choix !</t>
  </si>
  <si>
    <t>Choisissez la(les) machines(e) et adaptez éventuellement les données à votre exploitation</t>
  </si>
  <si>
    <r>
      <rPr>
        <sz val="10"/>
        <color indexed="10"/>
        <rFont val="Arial"/>
        <family val="2"/>
      </rPr>
      <t>Attention!</t>
    </r>
    <r>
      <rPr>
        <sz val="10"/>
        <rFont val="Arial"/>
        <family val="2"/>
      </rPr>
      <t xml:space="preserve"> Vous ne pouvez indiquer au max. qu'un tracteur (A) et une machine (A1) </t>
    </r>
  </si>
  <si>
    <t>Retournez ensuite au calculateur de seuil d'achat</t>
  </si>
  <si>
    <t xml:space="preserve">Remplissez les cellules vertes </t>
  </si>
  <si>
    <t xml:space="preserve">   &gt; Tarif externe = prix de location ou tarif forfaitaire (entreprise de travaux agricoles)</t>
  </si>
  <si>
    <t>Mode d'emploi</t>
  </si>
  <si>
    <t>Transporteur</t>
  </si>
  <si>
    <t>Tracteur</t>
  </si>
  <si>
    <t>Véhicule tout terrain</t>
  </si>
  <si>
    <t>Véhicules automoteurs (moissonneuse batteuse)</t>
  </si>
  <si>
    <t>Attention: en cas de modifications, la valeur indicative officielle Agroscope (valeur par défaut) change</t>
  </si>
  <si>
    <t xml:space="preserve">              Par conséquent, les déviations des calculs de variantes par rapport à la valeur indicative Agroscope</t>
  </si>
  <si>
    <r>
      <t xml:space="preserve"> ou deux combinaisons de machines avec opérateur (main-d'oevre). </t>
    </r>
    <r>
      <rPr>
        <sz val="10"/>
        <rFont val="Arial"/>
        <family val="2"/>
      </rPr>
      <t>Chaque machine est calculée à partir des données Agroscope.</t>
    </r>
  </si>
  <si>
    <t xml:space="preserve"> Il est possible de calculer une variante individuelle avec ses propres données et de la contrôler à l’aide de la valeur indicative Agroscope.</t>
  </si>
  <si>
    <t>Christian.Gazzarin@agroscope.admin.ch</t>
  </si>
  <si>
    <t xml:space="preserve"> - Vous découvrez deux blocs de saisie : ils sont répartis en données (valeurs par défaut, en gris; valeurs Agroscope) et en cellules vertes (colonnes F et M)</t>
  </si>
  <si>
    <t xml:space="preserve"> - Les données fixes (valeurs Agroscope) apparaissent également dans les cellules vertes. Mais vous pouvez apporter tous les changements souhaités!</t>
  </si>
  <si>
    <t xml:space="preserve">     - Attention: En changeant les hypothèses générales, vous changez aussi les valeurs indicatives Agroscope! (Avertissement)</t>
  </si>
  <si>
    <t>Avec le mudule "TracSharing" on peut calculer le paiement compensatoire pour un achat commun avec jusqu'à 4 associès</t>
  </si>
  <si>
    <t>Capacité de travail (Budget de travail Agroscope)</t>
  </si>
  <si>
    <t>Valeur Agroscope (default)</t>
  </si>
  <si>
    <t>Variation Variante par rapport à la valeur indicative Agroscope.................................................................</t>
  </si>
  <si>
    <t>Capacité (Budget de travail Agroscope)</t>
  </si>
  <si>
    <t>Valeur indicative Agroscope</t>
  </si>
  <si>
    <t>Agroscope-Richtwert</t>
  </si>
  <si>
    <t>Valeur Agroscope</t>
  </si>
  <si>
    <t>Supplément optionnel</t>
  </si>
  <si>
    <t>Fr./ UT</t>
  </si>
  <si>
    <t>Hypothèses générales Coûts-machines 2015</t>
  </si>
  <si>
    <t xml:space="preserve"> (Agroscope - Institut des sciences en durabilité agronomique IDU, Tänikon - V. 5.1/2015)</t>
  </si>
  <si>
    <t>Remorque porte-conteneur, 15 t, 25 m3</t>
  </si>
  <si>
    <t>Remorque porte-conteneur, 22 t, 25 m3</t>
  </si>
  <si>
    <t>Faucheuse à fléaux, 2 m</t>
  </si>
  <si>
    <t>Presse à balles rectangulaires, 
avec rotor (hacheuse) avant, 2 m3</t>
  </si>
  <si>
    <t>Combinaison presse et enrubanneuse, b.rondes, vario, 2.1 m3 (Silo)</t>
  </si>
  <si>
    <t>Désileuse-mélangeuse automotrice, 17 m3, moteur à diesel (175 ch)</t>
  </si>
  <si>
    <t>Pelle mécanique compacte 1 t, 7.5 kW (10 ch)</t>
  </si>
  <si>
    <t>Pelle mécanique compacte 1.7 t, 12 kW (16 ch)</t>
  </si>
  <si>
    <t xml:space="preserve"> Transporteur à chenilles 500 kg, essence, 4.5 kW (6 ch)</t>
  </si>
  <si>
    <t xml:space="preserve"> Transporteur à chenilles 700 kg, essence, 10 kW (13 ch)</t>
  </si>
  <si>
    <t xml:space="preserve">Prétailleuse à cage rotative </t>
  </si>
  <si>
    <t>Machines à vendager</t>
  </si>
  <si>
    <t>#Machine à vendanger tractée</t>
  </si>
  <si>
    <t>Semoir monograine pour légumes, double rang, 3m</t>
  </si>
  <si>
    <t>Planteuse semi-automatique avec système de séparation, 4 rangs</t>
  </si>
  <si>
    <t>Dérouleuse de film plastique légère (semis)</t>
  </si>
  <si>
    <t>Dérouleuse de film plastique 1.8m, lourde  (CM)</t>
  </si>
  <si>
    <t>Pulvérisateur 200 l pour traitement en bande, 1.8m, combiné</t>
  </si>
  <si>
    <t>Récolteuse de carottes, 1 rang trainée</t>
  </si>
  <si>
    <t>Récolteuse de carottes, 2 rangs, avec convoyeur, trainée</t>
  </si>
  <si>
    <t>Machine à couteaux pour récolte de poireaux, 1.8m</t>
  </si>
  <si>
    <t>Arracheuse pour poireaux, att. 3-points (à préhension par les fanes)</t>
  </si>
  <si>
    <t>Machine de récolte avec toit, 
(9 x 2.5 m, 16 palettes)</t>
  </si>
  <si>
    <t>Tapis de récolte pour machine à récolter, 10 m</t>
  </si>
  <si>
    <t>Achtung! Hier die Werte aus Spalte 17 im Mako-Bericht (2015) übernehmen</t>
  </si>
  <si>
    <t xml:space="preserve">   &gt; Indiquez le degré d'utilisation échelonné sur votre exploitation (pour la représentation graphique en bas)</t>
  </si>
  <si>
    <t>Nouveau: Version 5.1:</t>
  </si>
  <si>
    <t>Erreur dans la calculation "acheter ou louer" avec des machines calculées en heures est eliminée.</t>
  </si>
  <si>
    <t xml:space="preserve"> - 2.4m x 75m; 200m3 de volume utile; 772.- Fr./gaine resp. Fr. 3.86/m3</t>
  </si>
  <si>
    <t>Coûts fixes/UT</t>
  </si>
  <si>
    <t>Coûts variables/UT</t>
  </si>
  <si>
    <t>Tableau 1: Coûts annuels</t>
  </si>
  <si>
    <t>Tableau 1: Coûts par Unité de travail (UT)</t>
  </si>
  <si>
    <t xml:space="preserve">mit </t>
  </si>
  <si>
    <t>Tableau supplémentaire pour "acheter ou louer"</t>
  </si>
  <si>
    <t>TractoScope-Calculateur de seuil d'achat ("Acheter ou louer")</t>
  </si>
  <si>
    <t>Version 5.1 (Septembre 2016)</t>
  </si>
  <si>
    <r>
      <t xml:space="preserve">La liste de machines (base de données) s’appuie sur Agroscope Transfer "Coûts machines" (Gazzarin, </t>
    </r>
    <r>
      <rPr>
        <sz val="10"/>
        <color indexed="10"/>
        <rFont val="Arial"/>
        <family val="2"/>
      </rPr>
      <t>2016</t>
    </r>
    <r>
      <rPr>
        <sz val="10"/>
        <rFont val="Arial"/>
        <family val="2"/>
      </rPr>
      <t>).   www.coutsmachines.ch</t>
    </r>
  </si>
  <si>
    <r>
      <t xml:space="preserve">Aide: Les codes sont identiques à ceux du rapport Coûts-machines </t>
    </r>
    <r>
      <rPr>
        <i/>
        <sz val="10"/>
        <color indexed="10"/>
        <rFont val="Arial"/>
        <family val="2"/>
      </rPr>
      <t>2016</t>
    </r>
    <r>
      <rPr>
        <i/>
        <sz val="10"/>
        <rFont val="Arial"/>
        <family val="2"/>
      </rPr>
      <t>.</t>
    </r>
  </si>
  <si>
    <t>°</t>
  </si>
  <si>
    <t>#Tracteur étroit, 4 roues motrices, 70 kW (95 ch)</t>
  </si>
  <si>
    <t>Chargeur téléscopique, 50 kW (68 ch), 2.5 t</t>
  </si>
  <si>
    <t>Chargeur téléscopique, 75 kW (102 ch), 2.5 - 3.4 t</t>
  </si>
  <si>
    <t>Chargeur téléscopique, 90 kW (122 ch), &gt;3.4 t</t>
  </si>
  <si>
    <t>Lame à neige pour tracteur jusqu'à 59 kW (80 ch)</t>
  </si>
  <si>
    <t>Lame à neige pour tracteur de 60-88 kW (80-120 ch)</t>
  </si>
  <si>
    <t>Lame à neige pour tracteur de plus de 89 kW (120 ch)</t>
  </si>
  <si>
    <t>Outils de préparation du sol en bandes, 3m, 4-6 rangs (Strip Till)</t>
  </si>
  <si>
    <t>Semoir à Rouleau, 3m</t>
  </si>
  <si>
    <t>#Contrôle de la caméra pour sarcleuses</t>
  </si>
  <si>
    <t>Herse-étrille et semoir pneumatique, 3m</t>
  </si>
  <si>
    <t>Herse-étrille et semoir pneumatique, 6m</t>
  </si>
  <si>
    <t>Citerne à pression, 3000 l</t>
  </si>
  <si>
    <t>Citerne à pression, 4000 l</t>
  </si>
  <si>
    <t>Citerne à pression, 5000 l</t>
  </si>
  <si>
    <t>Citerne à pression, 6000 l</t>
  </si>
  <si>
    <t>Citerne à pression, 8000 l</t>
  </si>
  <si>
    <t>Citerne à pression, 10 000 l</t>
  </si>
  <si>
    <t>Citerne à pression, 12 000 l</t>
  </si>
  <si>
    <t>Barre de coupe, 3.9-4.2m (remorque)</t>
  </si>
  <si>
    <t>Barre de coupe, 4.2-4.8m (remorque)</t>
  </si>
  <si>
    <t>Barre de coupe, 4.8-5.2m (remorque)</t>
  </si>
  <si>
    <t>Barre de coupe, 5.2-6m (remorque)</t>
  </si>
  <si>
    <t>Barre de coupe, 6-7m (remorque)</t>
  </si>
  <si>
    <t>Barre de coupe, 7-8m (remorque)</t>
  </si>
  <si>
    <t>Autres outils pour Moissonneuses-batteuses</t>
  </si>
  <si>
    <t>becs-cueilleurs, 6 rangs avec broyeur de tige</t>
  </si>
  <si>
    <t>becs-cueilleurs, 8 rangs avec broyeur de tige</t>
  </si>
  <si>
    <t>Transbordeur à grain, 20-25m3</t>
  </si>
  <si>
    <t>Récolteuse de tabac, 2-rangs, avec élévateur, 
moteur à essence (12 ch)</t>
  </si>
  <si>
    <t>Ensileuse, pick-up, 2m, herbe</t>
  </si>
  <si>
    <t>Ensileuse, pick-up, 3m, herbe</t>
  </si>
  <si>
    <t xml:space="preserve">    bec à maïs, 4 rangs</t>
  </si>
  <si>
    <t xml:space="preserve">    pick-un pour herbe, 3m</t>
  </si>
  <si>
    <t xml:space="preserve">    bec à maïs, 6 rangs</t>
  </si>
  <si>
    <t xml:space="preserve">    bec à maïs, 8 rangs</t>
  </si>
  <si>
    <t>pick-up, 3m pour automotrice, 280 kW</t>
  </si>
  <si>
    <t>pick-up, 3m pour automotrice, 360 kW</t>
  </si>
  <si>
    <t>Faucheuse à mulching, axe horizontal,
1,3-2,7 m</t>
  </si>
  <si>
    <t>Faucheuse à mulching, axe horizontal,
avec ramasseur du bois, 1,3-2,7 m</t>
  </si>
  <si>
    <t>Pulvérisateur, automoteur avec siège, moteur à essence, 19 kW (26 ch)</t>
  </si>
  <si>
    <t>Semoir à pousses de salade, 1.80 m</t>
  </si>
  <si>
    <t xml:space="preserve"> Défaneuse à pdt, 1.80 m</t>
  </si>
  <si>
    <t>Modules neufs / Compléments</t>
  </si>
</sst>
</file>

<file path=xl/styles.xml><?xml version="1.0" encoding="utf-8"?>
<styleSheet xmlns="http://schemas.openxmlformats.org/spreadsheetml/2006/main">
  <numFmts count="1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0.00&quot;/Tag&quot;"/>
    <numFmt numFmtId="189" formatCode="0.00&quot;/Sack&quot;"/>
    <numFmt numFmtId="190" formatCode="#\ ##0\ &quot;ha&quot;"/>
    <numFmt numFmtId="191" formatCode="0\ &quot;m/h&quot;"/>
    <numFmt numFmtId="192" formatCode="0.00&quot;/m&quot;"/>
    <numFmt numFmtId="193" formatCode="0\ &quot;m3/h&quot;"/>
    <numFmt numFmtId="194" formatCode="0&quot; h&quot;"/>
    <numFmt numFmtId="195" formatCode="0\ &quot;hl/min&quot;"/>
    <numFmt numFmtId="196" formatCode="0\ &quot;m3/min&quot;"/>
    <numFmt numFmtId="197" formatCode="#\ ##0\ &quot;Fa&quot;"/>
    <numFmt numFmtId="198" formatCode="#,##0\ &quot;Fa&quot;"/>
    <numFmt numFmtId="199" formatCode="0.00&quot;/Fa&quot;"/>
    <numFmt numFmtId="200" formatCode="0.0\ &quot;Fa/h&quot;"/>
    <numFmt numFmtId="201" formatCode="0.00&quot;/Ba&quot;"/>
    <numFmt numFmtId="202" formatCode="0.00&quot;/Qb&quot;"/>
    <numFmt numFmtId="203" formatCode="#&quot; &quot;???/???"/>
    <numFmt numFmtId="204" formatCode="#\ ##0\ &quot;m3&quot;"/>
    <numFmt numFmtId="205" formatCode="#,##0\ &quot;m3&quot;"/>
    <numFmt numFmtId="206" formatCode="0\ &quot;t/h&quot;"/>
    <numFmt numFmtId="207" formatCode="#,##0\ &quot;t&quot;"/>
    <numFmt numFmtId="208" formatCode="0.00&quot;/t&quot;"/>
    <numFmt numFmtId="209" formatCode="0.00&quot;/ha 11)&quot;"/>
    <numFmt numFmtId="210" formatCode="#\ ##0.00&quot;/ha&quot;"/>
    <numFmt numFmtId="211" formatCode="0.00&quot;/Jahr&quot;"/>
    <numFmt numFmtId="212" formatCode="#,##0\ &quot;ha*&quot;"/>
    <numFmt numFmtId="213" formatCode="0.00&quot;/ha **&quot;"/>
    <numFmt numFmtId="214" formatCode="#\ ##0\ &quot;t&quot;"/>
    <numFmt numFmtId="215" formatCode="0.0\ &quot;t/h&quot;"/>
    <numFmt numFmtId="216" formatCode="#,##0\ &quot;Tiere&quot;"/>
    <numFmt numFmtId="217" formatCode="0.00&quot;/Tier&quot;"/>
    <numFmt numFmtId="218" formatCode="0\ &quot;kg/h&quot;"/>
    <numFmt numFmtId="219" formatCode="0.00&quot;/dt&quot;"/>
    <numFmt numFmtId="220" formatCode="0\ &quot;Bäume/h&quot;"/>
    <numFmt numFmtId="221" formatCode="0.00&quot;/Baum&quot;"/>
    <numFmt numFmtId="222" formatCode="0\ &quot;Fu/ha&quot;"/>
    <numFmt numFmtId="223" formatCode="#,##0\ &quot;hl&quot;"/>
    <numFmt numFmtId="224" formatCode="0.00&quot;/hl&quot;"/>
    <numFmt numFmtId="225" formatCode="0.00&quot;/ha 15)&quot;"/>
    <numFmt numFmtId="226" formatCode="0.0&quot; t/h&quot;"/>
    <numFmt numFmtId="227" formatCode="0.00&quot;/Druck&quot;"/>
    <numFmt numFmtId="228" formatCode="0&quot; t/h&quot;"/>
    <numFmt numFmtId="229" formatCode="0\ &quot;hl/h&quot;"/>
    <numFmt numFmtId="230" formatCode="0&quot; l&quot;"/>
    <numFmt numFmtId="231" formatCode="#\ ???/???"/>
    <numFmt numFmtId="232" formatCode="0.00\ "/>
    <numFmt numFmtId="233" formatCode="0.\-&quot;/ha&quot;"/>
    <numFmt numFmtId="234" formatCode="0.0000"/>
    <numFmt numFmtId="235" formatCode="#,##0&quot; m&quot;"/>
    <numFmt numFmtId="236" formatCode="0.00&quot; kg/Rb&quot;"/>
    <numFmt numFmtId="237" formatCode="0&quot; m3&quot;"/>
    <numFmt numFmtId="238" formatCode="0.00&quot; l/h&quot;"/>
    <numFmt numFmtId="239" formatCode="0.000"/>
    <numFmt numFmtId="240" formatCode="0.00&quot;*&quot;\ "/>
    <numFmt numFmtId="241" formatCode="0\ "/>
    <numFmt numFmtId="242" formatCode="_ * #,##0_ ;_ * \-#,##0_ ;_ * &quot;-&quot;??_ ;_ @_ "/>
    <numFmt numFmtId="243" formatCode="0.0%"/>
    <numFmt numFmtId="244" formatCode="0.00&quot;l/h&quot;"/>
    <numFmt numFmtId="245" formatCode="#,##0.00&quot;/ha&quot;"/>
    <numFmt numFmtId="246" formatCode="#,##0.00&quot;/Fla.&quot;"/>
    <numFmt numFmtId="247" formatCode="0.00&quot;/lm&quot;"/>
    <numFmt numFmtId="248" formatCode="0.000&quot;/h&quot;"/>
    <numFmt numFmtId="249" formatCode="0.00\ &quot;a/h&quot;"/>
    <numFmt numFmtId="250" formatCode="0.0\ &quot;kW&quot;"/>
    <numFmt numFmtId="251" formatCode="0.00000"/>
    <numFmt numFmtId="252" formatCode="&quot;Fr.&quot;\ #,##0\ &quot;/an&quot;"/>
    <numFmt numFmtId="253" formatCode="0.00&quot;/ch&quot;"/>
    <numFmt numFmtId="254" formatCode="0.00&quot;/jour&quot;"/>
    <numFmt numFmtId="255" formatCode="0.00&quot;/bot&quot;"/>
    <numFmt numFmtId="256" formatCode="#\ ##0\ &quot;bot&quot;"/>
    <numFmt numFmtId="257" formatCode="0.00&quot;/bal&quot;"/>
    <numFmt numFmtId="258" formatCode="0.00&quot;/sac&quot;"/>
    <numFmt numFmtId="259" formatCode="#\ ##0\ &quot;sacs&quot;"/>
    <numFmt numFmtId="260" formatCode="0.00&quot;/bête&quot;"/>
    <numFmt numFmtId="261" formatCode="#\ ##0\ &quot;bêtes&quot;"/>
    <numFmt numFmtId="262" formatCode="0.00&quot;/mc&quot;"/>
    <numFmt numFmtId="263" formatCode="0.00&quot;/arbre&quot;"/>
    <numFmt numFmtId="264" formatCode="0.00&quot;/col&quot;"/>
    <numFmt numFmtId="265" formatCode="0.00&quot;/an&quot;"/>
    <numFmt numFmtId="266" formatCode="#,##0\ &quot;ans&quot;"/>
    <numFmt numFmtId="267" formatCode="0.0"/>
    <numFmt numFmtId="268" formatCode="#\ ##0\ &quot;jours&quot;"/>
    <numFmt numFmtId="269" formatCode="#\ ##0\ &quot;arbres&quot;"/>
    <numFmt numFmtId="270" formatCode="0.00&quot;/pres.&quot;"/>
    <numFmt numFmtId="271" formatCode="0.000&quot;/mc&quot;"/>
    <numFmt numFmtId="272" formatCode="0.00&quot;/l ess.&quot;"/>
    <numFmt numFmtId="273" formatCode="0.0\ &quot;Fu/h&quot;"/>
    <numFmt numFmtId="274" formatCode="#\ ##0\ &quot;ch&quot;"/>
    <numFmt numFmtId="275" formatCode="0.00&quot; 1)&quot;"/>
    <numFmt numFmtId="276" formatCode="0\ &quot;Ba/h&quot;"/>
    <numFmt numFmtId="277" formatCode="#,##0&quot; bal&quot;\ "/>
    <numFmt numFmtId="278" formatCode="0\ &quot;Qb/h&quot;"/>
    <numFmt numFmtId="279" formatCode="0\ &quot;Sä/h&quot;"/>
    <numFmt numFmtId="280" formatCode="#\ ##0\ &quot;mc&quot;"/>
    <numFmt numFmtId="281" formatCode="0.00&quot;/ha 3)&quot;"/>
    <numFmt numFmtId="282" formatCode="0\ &quot;h/Druck&quot;"/>
    <numFmt numFmtId="283" formatCode="#,00#\ &quot;Fla./h&quot;"/>
    <numFmt numFmtId="284" formatCode="#\ ###\ ###\ &quot;mc&quot;"/>
  </numFmts>
  <fonts count="158">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sz val="8"/>
      <name val="Tahoma"/>
      <family val="2"/>
    </font>
    <font>
      <b/>
      <sz val="8"/>
      <name val="Tahoma"/>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name val="Tahoma"/>
      <family val="2"/>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sz val="11"/>
      <name val="Tahoma"/>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sz val="10"/>
      <color indexed="58"/>
      <name val="Arial"/>
      <family val="2"/>
    </font>
    <font>
      <b/>
      <sz val="18"/>
      <name val="Arial Black"/>
      <family val="2"/>
    </font>
    <font>
      <sz val="10"/>
      <color indexed="9"/>
      <name val="Arial"/>
      <family val="2"/>
    </font>
    <font>
      <b/>
      <sz val="20"/>
      <name val="Arial Black"/>
      <family val="2"/>
    </font>
    <font>
      <b/>
      <sz val="14"/>
      <color indexed="63"/>
      <name val="Arial"/>
      <family val="2"/>
    </font>
    <font>
      <b/>
      <sz val="10"/>
      <color indexed="39"/>
      <name val="Arial"/>
      <family val="2"/>
    </font>
    <font>
      <vertAlign val="superscript"/>
      <sz val="10"/>
      <color indexed="58"/>
      <name val="Arial"/>
      <family val="2"/>
    </font>
    <font>
      <b/>
      <u val="single"/>
      <sz val="10"/>
      <color indexed="12"/>
      <name val="Arial"/>
      <family val="2"/>
    </font>
    <font>
      <vertAlign val="superscript"/>
      <sz val="11.5"/>
      <name val="Arial"/>
      <family val="2"/>
    </font>
    <font>
      <b/>
      <i/>
      <sz val="11"/>
      <name val="Frutiger LT 45 Light"/>
      <family val="0"/>
    </font>
    <font>
      <b/>
      <u val="single"/>
      <sz val="10"/>
      <color indexed="58"/>
      <name val="Arial"/>
      <family val="2"/>
    </font>
    <font>
      <b/>
      <sz val="11"/>
      <name val="Arial Black"/>
      <family val="2"/>
    </font>
    <font>
      <b/>
      <i/>
      <sz val="10"/>
      <name val="Arial"/>
      <family val="2"/>
    </font>
    <font>
      <sz val="9"/>
      <name val="Tahoma"/>
      <family val="2"/>
    </font>
    <font>
      <b/>
      <sz val="9"/>
      <name val="Tahoma"/>
      <family val="2"/>
    </font>
    <font>
      <sz val="12"/>
      <name val="Arial"/>
      <family val="2"/>
    </font>
    <font>
      <b/>
      <sz val="16"/>
      <name val="Arial Black"/>
      <family val="2"/>
    </font>
    <font>
      <sz val="10"/>
      <color indexed="8"/>
      <name val="Syntax LT"/>
      <family val="0"/>
    </font>
    <font>
      <sz val="10"/>
      <name val="Syntax LT"/>
      <family val="0"/>
    </font>
    <font>
      <i/>
      <sz val="10"/>
      <color indexed="10"/>
      <name val="Arial"/>
      <family val="2"/>
    </font>
    <font>
      <sz val="14"/>
      <color indexed="8"/>
      <name val="Arial"/>
      <family val="2"/>
    </font>
    <font>
      <sz val="12"/>
      <color indexed="8"/>
      <name val="Arial"/>
      <family val="2"/>
    </font>
    <font>
      <sz val="7.15"/>
      <color indexed="8"/>
      <name val="Arial"/>
      <family val="2"/>
    </font>
    <font>
      <sz val="13.25"/>
      <color indexed="8"/>
      <name val="Arial"/>
      <family val="2"/>
    </font>
    <font>
      <sz val="11.25"/>
      <color indexed="8"/>
      <name val="Arial"/>
      <family val="2"/>
    </font>
    <font>
      <sz val="11"/>
      <color indexed="10"/>
      <name val="Frutiger LT 45 Light"/>
      <family val="1"/>
    </font>
    <font>
      <i/>
      <sz val="11"/>
      <color indexed="8"/>
      <name val="Frutiger LT 45 Light"/>
      <family val="1"/>
    </font>
    <font>
      <b/>
      <i/>
      <sz val="11"/>
      <color indexed="8"/>
      <name val="Frutiger LT 45 Light"/>
      <family val="0"/>
    </font>
    <font>
      <b/>
      <i/>
      <sz val="10.5"/>
      <color indexed="8"/>
      <name val="Syntax LT"/>
      <family val="0"/>
    </font>
    <font>
      <b/>
      <sz val="11"/>
      <color indexed="10"/>
      <name val="Frutiger LT 45 Light"/>
      <family val="1"/>
    </font>
    <font>
      <sz val="6.55"/>
      <color indexed="8"/>
      <name val="Arial"/>
      <family val="2"/>
    </font>
    <font>
      <b/>
      <sz val="14"/>
      <name val="Tahoma"/>
      <family val="2"/>
    </font>
    <font>
      <sz val="14"/>
      <name val="Tahoma"/>
      <family val="2"/>
    </font>
    <font>
      <b/>
      <sz val="9"/>
      <name val="Segoe UI"/>
      <family val="2"/>
    </font>
    <font>
      <sz val="9"/>
      <name val="Segoe UI"/>
      <family val="2"/>
    </font>
    <font>
      <b/>
      <sz val="9"/>
      <color indexed="8"/>
      <name val="Tahoma"/>
      <family val="2"/>
    </font>
    <font>
      <sz val="9"/>
      <color indexed="8"/>
      <name val="Tahoma"/>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57"/>
      <name val="Arial"/>
      <family val="2"/>
    </font>
    <font>
      <sz val="10"/>
      <color indexed="55"/>
      <name val="Arial"/>
      <family val="2"/>
    </font>
    <font>
      <b/>
      <sz val="8"/>
      <color indexed="58"/>
      <name val="Arial"/>
      <family val="2"/>
    </font>
    <font>
      <b/>
      <sz val="10"/>
      <color indexed="60"/>
      <name val="Arial"/>
      <family val="2"/>
    </font>
    <font>
      <sz val="10.5"/>
      <color indexed="10"/>
      <name val="Frutiger LT 45 Light"/>
      <family val="1"/>
    </font>
    <font>
      <b/>
      <i/>
      <sz val="10"/>
      <color indexed="56"/>
      <name val="Arial"/>
      <family val="2"/>
    </font>
    <font>
      <sz val="11"/>
      <color indexed="8"/>
      <name val="Syntax LT"/>
      <family val="0"/>
    </font>
    <font>
      <b/>
      <sz val="10"/>
      <color indexed="56"/>
      <name val="Arial"/>
      <family val="2"/>
    </font>
    <font>
      <sz val="10"/>
      <color indexed="56"/>
      <name val="Arial"/>
      <family val="2"/>
    </font>
    <font>
      <sz val="8"/>
      <name val="Segoe UI"/>
      <family val="2"/>
    </font>
    <font>
      <b/>
      <sz val="11"/>
      <color indexed="8"/>
      <name val="Calibri"/>
      <family val="2"/>
    </font>
    <font>
      <sz val="11"/>
      <color indexed="8"/>
      <name val="Calibri"/>
      <family val="2"/>
    </font>
    <font>
      <b/>
      <sz val="12"/>
      <color indexed="8"/>
      <name val="Arial"/>
      <family val="2"/>
    </font>
    <font>
      <b/>
      <sz val="14"/>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theme="6" tint="-0.4999699890613556"/>
      <name val="Arial"/>
      <family val="2"/>
    </font>
    <font>
      <sz val="10"/>
      <color rgb="FF003300"/>
      <name val="Arial"/>
      <family val="2"/>
    </font>
    <font>
      <sz val="10"/>
      <color theme="0" tint="-0.3499799966812134"/>
      <name val="Arial"/>
      <family val="2"/>
    </font>
    <font>
      <b/>
      <sz val="8"/>
      <color rgb="FF003300"/>
      <name val="Arial"/>
      <family val="2"/>
    </font>
    <font>
      <b/>
      <sz val="10"/>
      <color rgb="FFC00000"/>
      <name val="Arial"/>
      <family val="2"/>
    </font>
    <font>
      <b/>
      <sz val="14"/>
      <color rgb="FF003300"/>
      <name val="Arial"/>
      <family val="2"/>
    </font>
    <font>
      <sz val="10"/>
      <color rgb="FFC00000"/>
      <name val="Arial"/>
      <family val="2"/>
    </font>
    <font>
      <b/>
      <sz val="10"/>
      <color rgb="FFFF0000"/>
      <name val="Arial"/>
      <family val="2"/>
    </font>
    <font>
      <sz val="10"/>
      <color theme="9" tint="-0.4999699890613556"/>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b/>
      <i/>
      <sz val="10"/>
      <color rgb="FF002060"/>
      <name val="Arial"/>
      <family val="2"/>
    </font>
    <font>
      <sz val="10"/>
      <color rgb="FF000000"/>
      <name val="Arial"/>
      <family val="2"/>
    </font>
    <font>
      <sz val="11"/>
      <color rgb="FF000000"/>
      <name val="Syntax LT"/>
      <family val="0"/>
    </font>
    <font>
      <b/>
      <sz val="10"/>
      <color rgb="FF002060"/>
      <name val="Arial"/>
      <family val="2"/>
    </font>
    <font>
      <sz val="10"/>
      <color rgb="FF002060"/>
      <name val="Arial"/>
      <family val="2"/>
    </font>
    <font>
      <sz val="11"/>
      <color rgb="FFFF0000"/>
      <name val="Frutiger LT 45 Light"/>
      <family val="1"/>
    </font>
    <font>
      <b/>
      <sz val="8"/>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3BB33B"/>
        <bgColor indexed="64"/>
      </patternFill>
    </fill>
    <fill>
      <patternFill patternType="solid">
        <fgColor rgb="FF97DD97"/>
        <bgColor indexed="64"/>
      </patternFill>
    </fill>
    <fill>
      <patternFill patternType="solid">
        <fgColor rgb="FFCAEECA"/>
        <bgColor indexed="64"/>
      </patternFill>
    </fill>
    <fill>
      <patternFill patternType="solid">
        <fgColor rgb="FFCAE8CA"/>
        <bgColor indexed="64"/>
      </patternFill>
    </fill>
    <fill>
      <patternFill patternType="solid">
        <fgColor rgb="FF92D050"/>
        <bgColor indexed="64"/>
      </patternFill>
    </fill>
    <fill>
      <patternFill patternType="solid">
        <fgColor theme="0"/>
        <bgColor indexed="64"/>
      </patternFill>
    </fill>
    <fill>
      <patternFill patternType="solid">
        <fgColor rgb="FFCCFFCC"/>
        <bgColor indexed="64"/>
      </patternFill>
    </fill>
    <fill>
      <patternFill patternType="lightGray">
        <bgColor theme="0"/>
      </patternFill>
    </fill>
    <fill>
      <patternFill patternType="lightGray"/>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indexed="57"/>
        <bgColor indexed="64"/>
      </patternFill>
    </fill>
    <fill>
      <patternFill patternType="solid">
        <fgColor rgb="FFCFF3CF"/>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33CC33"/>
        <bgColor indexed="64"/>
      </patternFill>
    </fill>
    <fill>
      <patternFill patternType="solid">
        <fgColor indexed="27"/>
        <bgColor indexed="64"/>
      </patternFill>
    </fill>
    <fill>
      <patternFill patternType="solid">
        <fgColor rgb="FF339966"/>
        <bgColor indexed="64"/>
      </patternFill>
    </fill>
    <fill>
      <patternFill patternType="solid">
        <fgColor rgb="FFCEFFCE"/>
        <bgColor indexed="64"/>
      </patternFill>
    </fill>
    <fill>
      <patternFill patternType="solid">
        <fgColor rgb="FFCEFFCE"/>
        <bgColor indexed="64"/>
      </patternFill>
    </fill>
    <fill>
      <patternFill patternType="solid">
        <fgColor rgb="FFD9D9D9"/>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style="hair"/>
      <right style="hair"/>
      <top style="hair"/>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color indexed="63"/>
      </right>
      <top style="hair"/>
      <bottom style="hair"/>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medium"/>
      <right style="thin"/>
      <top style="thin"/>
      <bottom style="medium"/>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1" applyNumberFormat="0" applyAlignment="0" applyProtection="0"/>
    <xf numFmtId="0" fontId="12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24" fillId="27" borderId="2" applyNumberFormat="0" applyAlignment="0" applyProtection="0"/>
    <xf numFmtId="0" fontId="125" fillId="0" borderId="3" applyNumberFormat="0" applyFill="0" applyAlignment="0" applyProtection="0"/>
    <xf numFmtId="0" fontId="126" fillId="0" borderId="0" applyNumberFormat="0" applyFill="0" applyBorder="0" applyAlignment="0" applyProtection="0"/>
    <xf numFmtId="0" fontId="127"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9" fillId="31" borderId="0" applyNumberFormat="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35" fillId="0" borderId="0" applyNumberFormat="0" applyFill="0" applyBorder="0" applyAlignment="0" applyProtection="0"/>
    <xf numFmtId="0" fontId="136" fillId="32" borderId="9" applyNumberFormat="0" applyAlignment="0" applyProtection="0"/>
  </cellStyleXfs>
  <cellXfs count="1319">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6" fillId="33" borderId="0" xfId="0" applyFont="1" applyFill="1" applyAlignment="1">
      <alignment horizontal="center"/>
    </xf>
    <xf numFmtId="0" fontId="16" fillId="0" borderId="0" xfId="0" applyFont="1" applyFill="1" applyAlignment="1">
      <alignment horizontal="center"/>
    </xf>
    <xf numFmtId="0" fontId="16" fillId="35" borderId="0" xfId="0" applyFont="1" applyFill="1" applyAlignment="1">
      <alignment horizontal="center"/>
    </xf>
    <xf numFmtId="0" fontId="17" fillId="0" borderId="0" xfId="0" applyFont="1" applyAlignment="1">
      <alignment/>
    </xf>
    <xf numFmtId="0" fontId="17" fillId="0" borderId="0" xfId="0" applyFont="1" applyAlignment="1">
      <alignment horizontal="center"/>
    </xf>
    <xf numFmtId="0" fontId="17" fillId="33" borderId="0" xfId="0" applyFont="1" applyFill="1" applyAlignment="1">
      <alignment horizontal="center"/>
    </xf>
    <xf numFmtId="0" fontId="17" fillId="0" borderId="0" xfId="0" applyFont="1" applyFill="1" applyAlignment="1">
      <alignment horizontal="center"/>
    </xf>
    <xf numFmtId="0" fontId="17" fillId="35" borderId="0" xfId="0" applyFont="1" applyFill="1" applyAlignment="1">
      <alignment horizontal="center"/>
    </xf>
    <xf numFmtId="0" fontId="18" fillId="0" borderId="10" xfId="0" applyFont="1" applyBorder="1" applyAlignment="1">
      <alignment/>
    </xf>
    <xf numFmtId="0" fontId="17" fillId="0" borderId="11" xfId="0" applyFont="1" applyBorder="1" applyAlignment="1">
      <alignment/>
    </xf>
    <xf numFmtId="0" fontId="17" fillId="0" borderId="11" xfId="0" applyFont="1" applyBorder="1" applyAlignment="1">
      <alignment horizontal="center"/>
    </xf>
    <xf numFmtId="0" fontId="18" fillId="33" borderId="12" xfId="0" applyFont="1" applyFill="1" applyBorder="1" applyAlignment="1">
      <alignment horizontal="center"/>
    </xf>
    <xf numFmtId="0" fontId="18" fillId="0" borderId="12" xfId="0" applyFont="1" applyFill="1" applyBorder="1" applyAlignment="1">
      <alignment horizontal="center"/>
    </xf>
    <xf numFmtId="0" fontId="18" fillId="35" borderId="12" xfId="0" applyFont="1" applyFill="1" applyBorder="1" applyAlignment="1">
      <alignment horizontal="center"/>
    </xf>
    <xf numFmtId="0" fontId="18" fillId="0" borderId="12" xfId="0" applyFont="1" applyBorder="1" applyAlignment="1">
      <alignment horizontal="center"/>
    </xf>
    <xf numFmtId="0" fontId="17" fillId="0" borderId="13" xfId="0" applyFont="1" applyBorder="1" applyAlignment="1">
      <alignment/>
    </xf>
    <xf numFmtId="0" fontId="17" fillId="0" borderId="14" xfId="0" applyFont="1" applyBorder="1" applyAlignment="1">
      <alignment/>
    </xf>
    <xf numFmtId="0" fontId="17" fillId="0" borderId="14" xfId="0" applyFont="1" applyBorder="1" applyAlignment="1">
      <alignment horizontal="center"/>
    </xf>
    <xf numFmtId="14" fontId="17" fillId="33" borderId="15" xfId="0" applyNumberFormat="1" applyFont="1" applyFill="1" applyBorder="1" applyAlignment="1">
      <alignment horizontal="center"/>
    </xf>
    <xf numFmtId="14" fontId="17" fillId="0" borderId="15" xfId="0" applyNumberFormat="1" applyFont="1" applyFill="1" applyBorder="1" applyAlignment="1">
      <alignment horizontal="center"/>
    </xf>
    <xf numFmtId="14" fontId="17" fillId="35" borderId="15" xfId="0" applyNumberFormat="1" applyFont="1" applyFill="1" applyBorder="1" applyAlignment="1">
      <alignment horizontal="center"/>
    </xf>
    <xf numFmtId="14" fontId="17" fillId="0" borderId="15" xfId="0" applyNumberFormat="1" applyFont="1" applyBorder="1" applyAlignment="1">
      <alignment horizontal="center"/>
    </xf>
    <xf numFmtId="0" fontId="17" fillId="0" borderId="10" xfId="0" applyFont="1" applyBorder="1" applyAlignment="1">
      <alignment/>
    </xf>
    <xf numFmtId="0" fontId="17" fillId="0" borderId="16" xfId="0" applyFont="1" applyBorder="1" applyAlignment="1">
      <alignment/>
    </xf>
    <xf numFmtId="0" fontId="17" fillId="0" borderId="12" xfId="0" applyFont="1" applyBorder="1" applyAlignment="1">
      <alignment horizontal="center"/>
    </xf>
    <xf numFmtId="0" fontId="17" fillId="33" borderId="12" xfId="0" applyFont="1" applyFill="1" applyBorder="1" applyAlignment="1">
      <alignment horizontal="center"/>
    </xf>
    <xf numFmtId="0" fontId="17" fillId="0" borderId="12" xfId="0" applyFont="1" applyFill="1" applyBorder="1" applyAlignment="1">
      <alignment horizontal="center"/>
    </xf>
    <xf numFmtId="0" fontId="17" fillId="35" borderId="12" xfId="0" applyFont="1" applyFill="1" applyBorder="1" applyAlignment="1">
      <alignment horizontal="center"/>
    </xf>
    <xf numFmtId="0" fontId="18" fillId="0" borderId="17" xfId="0" applyFont="1" applyBorder="1" applyAlignment="1">
      <alignment/>
    </xf>
    <xf numFmtId="0" fontId="17" fillId="0" borderId="18" xfId="0" applyFont="1" applyBorder="1" applyAlignment="1">
      <alignment/>
    </xf>
    <xf numFmtId="0" fontId="17" fillId="0" borderId="19" xfId="0" applyFont="1" applyBorder="1" applyAlignment="1">
      <alignment horizontal="center"/>
    </xf>
    <xf numFmtId="0" fontId="17" fillId="33" borderId="19" xfId="0" applyFont="1" applyFill="1" applyBorder="1" applyAlignment="1">
      <alignment horizontal="center"/>
    </xf>
    <xf numFmtId="0" fontId="17" fillId="0" borderId="19" xfId="0" applyFont="1" applyFill="1" applyBorder="1" applyAlignment="1">
      <alignment horizontal="center"/>
    </xf>
    <xf numFmtId="0" fontId="17" fillId="35" borderId="19" xfId="0" applyFont="1" applyFill="1" applyBorder="1" applyAlignment="1">
      <alignment horizontal="center"/>
    </xf>
    <xf numFmtId="0" fontId="17" fillId="0" borderId="17" xfId="0" applyFont="1" applyBorder="1" applyAlignment="1">
      <alignment/>
    </xf>
    <xf numFmtId="2" fontId="17" fillId="33" borderId="19" xfId="0" applyNumberFormat="1" applyFont="1" applyFill="1" applyBorder="1" applyAlignment="1">
      <alignment horizontal="center"/>
    </xf>
    <xf numFmtId="2" fontId="17" fillId="0" borderId="19" xfId="0" applyNumberFormat="1" applyFont="1" applyFill="1" applyBorder="1" applyAlignment="1">
      <alignment horizontal="center"/>
    </xf>
    <xf numFmtId="2" fontId="17" fillId="35" borderId="19" xfId="0" applyNumberFormat="1" applyFont="1" applyFill="1" applyBorder="1" applyAlignment="1">
      <alignment horizontal="center"/>
    </xf>
    <xf numFmtId="2" fontId="17" fillId="0" borderId="19" xfId="0" applyNumberFormat="1" applyFont="1" applyBorder="1" applyAlignment="1">
      <alignment horizontal="center"/>
    </xf>
    <xf numFmtId="2" fontId="19" fillId="33" borderId="19" xfId="0" applyNumberFormat="1" applyFont="1" applyFill="1" applyBorder="1" applyAlignment="1">
      <alignment horizontal="center"/>
    </xf>
    <xf numFmtId="2" fontId="19" fillId="0" borderId="19" xfId="0" applyNumberFormat="1" applyFont="1" applyFill="1" applyBorder="1" applyAlignment="1">
      <alignment horizontal="center"/>
    </xf>
    <xf numFmtId="2" fontId="18" fillId="33" borderId="19" xfId="0" applyNumberFormat="1" applyFont="1" applyFill="1" applyBorder="1" applyAlignment="1">
      <alignment horizontal="center"/>
    </xf>
    <xf numFmtId="2" fontId="18" fillId="0" borderId="19" xfId="0" applyNumberFormat="1" applyFont="1" applyFill="1" applyBorder="1" applyAlignment="1">
      <alignment horizontal="center"/>
    </xf>
    <xf numFmtId="2" fontId="20" fillId="33" borderId="19" xfId="0" applyNumberFormat="1" applyFont="1" applyFill="1" applyBorder="1" applyAlignment="1">
      <alignment horizontal="center"/>
    </xf>
    <xf numFmtId="10" fontId="17" fillId="0" borderId="19" xfId="0" applyNumberFormat="1" applyFont="1" applyBorder="1" applyAlignment="1">
      <alignment horizontal="center"/>
    </xf>
    <xf numFmtId="10" fontId="17" fillId="33" borderId="19" xfId="0" applyNumberFormat="1" applyFont="1" applyFill="1" applyBorder="1" applyAlignment="1">
      <alignment horizontal="center"/>
    </xf>
    <xf numFmtId="10" fontId="17" fillId="0" borderId="19" xfId="0" applyNumberFormat="1" applyFont="1" applyFill="1" applyBorder="1" applyAlignment="1">
      <alignment horizontal="center"/>
    </xf>
    <xf numFmtId="10" fontId="17" fillId="35" borderId="19" xfId="0" applyNumberFormat="1" applyFont="1" applyFill="1" applyBorder="1" applyAlignment="1">
      <alignment horizontal="center"/>
    </xf>
    <xf numFmtId="10" fontId="17" fillId="0" borderId="19" xfId="0" applyNumberFormat="1" applyFont="1" applyFill="1" applyBorder="1" applyAlignment="1">
      <alignment horizontal="left"/>
    </xf>
    <xf numFmtId="10" fontId="17" fillId="33" borderId="19" xfId="0" applyNumberFormat="1" applyFont="1" applyFill="1" applyBorder="1" applyAlignment="1">
      <alignment horizontal="left"/>
    </xf>
    <xf numFmtId="10" fontId="17" fillId="35" borderId="19" xfId="0" applyNumberFormat="1" applyFont="1" applyFill="1" applyBorder="1" applyAlignment="1">
      <alignment horizontal="left"/>
    </xf>
    <xf numFmtId="10" fontId="17" fillId="36" borderId="19" xfId="0" applyNumberFormat="1" applyFont="1" applyFill="1" applyBorder="1" applyAlignment="1">
      <alignment horizontal="center"/>
    </xf>
    <xf numFmtId="10" fontId="18" fillId="33" borderId="19" xfId="0" applyNumberFormat="1" applyFont="1" applyFill="1" applyBorder="1" applyAlignment="1">
      <alignment horizontal="center"/>
    </xf>
    <xf numFmtId="10" fontId="18" fillId="0" borderId="19" xfId="0" applyNumberFormat="1" applyFont="1" applyFill="1" applyBorder="1" applyAlignment="1">
      <alignment horizontal="center"/>
    </xf>
    <xf numFmtId="2" fontId="17" fillId="36" borderId="19" xfId="0" applyNumberFormat="1" applyFont="1" applyFill="1" applyBorder="1" applyAlignment="1">
      <alignment horizontal="center"/>
    </xf>
    <xf numFmtId="2" fontId="21" fillId="33" borderId="19" xfId="0" applyNumberFormat="1" applyFont="1" applyFill="1" applyBorder="1" applyAlignment="1">
      <alignment horizontal="center"/>
    </xf>
    <xf numFmtId="2" fontId="20" fillId="0" borderId="19" xfId="0" applyNumberFormat="1" applyFont="1" applyFill="1" applyBorder="1" applyAlignment="1">
      <alignment horizontal="center"/>
    </xf>
    <xf numFmtId="2" fontId="22" fillId="33" borderId="19" xfId="0" applyNumberFormat="1" applyFont="1" applyFill="1" applyBorder="1" applyAlignment="1">
      <alignment horizontal="center"/>
    </xf>
    <xf numFmtId="2" fontId="22" fillId="35" borderId="19" xfId="0" applyNumberFormat="1" applyFont="1" applyFill="1" applyBorder="1" applyAlignment="1">
      <alignment horizontal="center"/>
    </xf>
    <xf numFmtId="2" fontId="22" fillId="0" borderId="19" xfId="0" applyNumberFormat="1" applyFont="1" applyFill="1" applyBorder="1" applyAlignment="1">
      <alignment horizontal="center"/>
    </xf>
    <xf numFmtId="0" fontId="23" fillId="33" borderId="19" xfId="0" applyFont="1" applyFill="1" applyBorder="1" applyAlignment="1">
      <alignment horizontal="center"/>
    </xf>
    <xf numFmtId="234" fontId="17" fillId="36" borderId="19" xfId="0" applyNumberFormat="1" applyFont="1" applyFill="1" applyBorder="1" applyAlignment="1">
      <alignment horizontal="center"/>
    </xf>
    <xf numFmtId="234" fontId="17" fillId="33" borderId="19" xfId="0" applyNumberFormat="1" applyFont="1" applyFill="1" applyBorder="1" applyAlignment="1">
      <alignment horizontal="center"/>
    </xf>
    <xf numFmtId="234" fontId="17" fillId="0" borderId="19" xfId="0" applyNumberFormat="1" applyFont="1" applyFill="1" applyBorder="1" applyAlignment="1">
      <alignment horizontal="center"/>
    </xf>
    <xf numFmtId="234" fontId="17" fillId="35" borderId="19" xfId="0" applyNumberFormat="1" applyFont="1" applyFill="1" applyBorder="1" applyAlignment="1">
      <alignment horizontal="center"/>
    </xf>
    <xf numFmtId="234" fontId="17" fillId="0" borderId="19" xfId="0" applyNumberFormat="1" applyFont="1" applyBorder="1" applyAlignment="1">
      <alignment horizontal="center"/>
    </xf>
    <xf numFmtId="0" fontId="18" fillId="0" borderId="18" xfId="0" applyFont="1" applyBorder="1" applyAlignment="1">
      <alignment/>
    </xf>
    <xf numFmtId="2" fontId="21" fillId="36" borderId="19" xfId="0" applyNumberFormat="1" applyFont="1" applyFill="1" applyBorder="1" applyAlignment="1">
      <alignment horizontal="center"/>
    </xf>
    <xf numFmtId="2" fontId="18" fillId="35" borderId="19" xfId="0" applyNumberFormat="1" applyFont="1" applyFill="1" applyBorder="1" applyAlignment="1">
      <alignment horizontal="center"/>
    </xf>
    <xf numFmtId="2" fontId="18" fillId="0" borderId="19" xfId="0" applyNumberFormat="1" applyFont="1" applyBorder="1" applyAlignment="1">
      <alignment horizontal="center"/>
    </xf>
    <xf numFmtId="235" fontId="19" fillId="33" borderId="19" xfId="0" applyNumberFormat="1" applyFont="1" applyFill="1" applyBorder="1" applyAlignment="1">
      <alignment horizontal="center"/>
    </xf>
    <xf numFmtId="2" fontId="18" fillId="36" borderId="19" xfId="0" applyNumberFormat="1" applyFont="1" applyFill="1" applyBorder="1" applyAlignment="1">
      <alignment horizontal="center"/>
    </xf>
    <xf numFmtId="236" fontId="17" fillId="36" borderId="19" xfId="0" applyNumberFormat="1" applyFont="1" applyFill="1" applyBorder="1" applyAlignment="1">
      <alignment horizontal="center"/>
    </xf>
    <xf numFmtId="236" fontId="17" fillId="33" borderId="19" xfId="0" applyNumberFormat="1" applyFont="1" applyFill="1" applyBorder="1" applyAlignment="1">
      <alignment horizontal="center"/>
    </xf>
    <xf numFmtId="236" fontId="17" fillId="0" borderId="19" xfId="0" applyNumberFormat="1" applyFont="1" applyFill="1" applyBorder="1" applyAlignment="1">
      <alignment horizontal="center"/>
    </xf>
    <xf numFmtId="236" fontId="17" fillId="35" borderId="19" xfId="0" applyNumberFormat="1" applyFont="1" applyFill="1" applyBorder="1" applyAlignment="1">
      <alignment horizontal="center"/>
    </xf>
    <xf numFmtId="236" fontId="24" fillId="36" borderId="19" xfId="0" applyNumberFormat="1" applyFont="1" applyFill="1" applyBorder="1" applyAlignment="1">
      <alignment horizontal="center"/>
    </xf>
    <xf numFmtId="236" fontId="24" fillId="33" borderId="19" xfId="0" applyNumberFormat="1" applyFont="1" applyFill="1" applyBorder="1" applyAlignment="1">
      <alignment horizontal="center"/>
    </xf>
    <xf numFmtId="236" fontId="24" fillId="0" borderId="19" xfId="0" applyNumberFormat="1" applyFont="1" applyFill="1" applyBorder="1" applyAlignment="1">
      <alignment horizontal="center"/>
    </xf>
    <xf numFmtId="236" fontId="24" fillId="35" borderId="19" xfId="0" applyNumberFormat="1" applyFont="1" applyFill="1" applyBorder="1" applyAlignment="1">
      <alignment horizontal="center"/>
    </xf>
    <xf numFmtId="0" fontId="25" fillId="35" borderId="0" xfId="0" applyFont="1" applyFill="1" applyAlignment="1">
      <alignment/>
    </xf>
    <xf numFmtId="0" fontId="17" fillId="36" borderId="19" xfId="0" applyFont="1" applyFill="1" applyBorder="1" applyAlignment="1">
      <alignment horizontal="center"/>
    </xf>
    <xf numFmtId="237" fontId="17" fillId="33" borderId="19" xfId="0" applyNumberFormat="1" applyFont="1" applyFill="1" applyBorder="1" applyAlignment="1">
      <alignment horizontal="center"/>
    </xf>
    <xf numFmtId="237" fontId="17" fillId="0" borderId="19" xfId="0" applyNumberFormat="1" applyFont="1" applyFill="1" applyBorder="1" applyAlignment="1">
      <alignment horizontal="center"/>
    </xf>
    <xf numFmtId="237" fontId="17" fillId="35" borderId="19" xfId="0" applyNumberFormat="1" applyFont="1" applyFill="1" applyBorder="1" applyAlignment="1">
      <alignment horizontal="center"/>
    </xf>
    <xf numFmtId="238" fontId="17" fillId="0" borderId="19" xfId="0" applyNumberFormat="1" applyFont="1" applyBorder="1" applyAlignment="1">
      <alignment horizontal="center"/>
    </xf>
    <xf numFmtId="238" fontId="17" fillId="33" borderId="19" xfId="0" applyNumberFormat="1" applyFont="1" applyFill="1" applyBorder="1" applyAlignment="1">
      <alignment horizontal="center"/>
    </xf>
    <xf numFmtId="238" fontId="17" fillId="0" borderId="19" xfId="0" applyNumberFormat="1" applyFont="1" applyFill="1" applyBorder="1" applyAlignment="1">
      <alignment horizontal="center"/>
    </xf>
    <xf numFmtId="0" fontId="18" fillId="0" borderId="19" xfId="0" applyFont="1" applyBorder="1" applyAlignment="1">
      <alignment horizontal="center"/>
    </xf>
    <xf numFmtId="0" fontId="18" fillId="33" borderId="19" xfId="0" applyFont="1" applyFill="1" applyBorder="1" applyAlignment="1">
      <alignment horizontal="center"/>
    </xf>
    <xf numFmtId="0" fontId="18" fillId="0" borderId="19" xfId="0" applyFont="1" applyFill="1" applyBorder="1" applyAlignment="1">
      <alignment horizontal="center"/>
    </xf>
    <xf numFmtId="0" fontId="18" fillId="35" borderId="19" xfId="0" applyFont="1" applyFill="1" applyBorder="1" applyAlignment="1">
      <alignment horizontal="center"/>
    </xf>
    <xf numFmtId="0" fontId="18" fillId="0" borderId="0" xfId="0" applyFont="1" applyAlignment="1">
      <alignment/>
    </xf>
    <xf numFmtId="0" fontId="17" fillId="0" borderId="0" xfId="0" applyFont="1" applyBorder="1" applyAlignment="1">
      <alignment horizontal="center"/>
    </xf>
    <xf numFmtId="0" fontId="17" fillId="0" borderId="20" xfId="0" applyFont="1" applyBorder="1" applyAlignment="1">
      <alignment/>
    </xf>
    <xf numFmtId="0" fontId="17" fillId="0" borderId="15" xfId="0" applyFont="1" applyBorder="1" applyAlignment="1">
      <alignment horizontal="center"/>
    </xf>
    <xf numFmtId="2" fontId="17" fillId="33" borderId="15" xfId="0" applyNumberFormat="1" applyFont="1" applyFill="1" applyBorder="1" applyAlignment="1">
      <alignment horizontal="center"/>
    </xf>
    <xf numFmtId="2" fontId="17" fillId="0" borderId="15" xfId="0" applyNumberFormat="1" applyFont="1" applyFill="1" applyBorder="1" applyAlignment="1">
      <alignment horizontal="center"/>
    </xf>
    <xf numFmtId="2" fontId="17" fillId="35" borderId="15" xfId="0" applyNumberFormat="1" applyFont="1" applyFill="1" applyBorder="1" applyAlignment="1">
      <alignment horizontal="center"/>
    </xf>
    <xf numFmtId="2" fontId="17" fillId="0" borderId="15" xfId="0" applyNumberFormat="1" applyFont="1" applyBorder="1" applyAlignment="1">
      <alignment horizontal="center"/>
    </xf>
    <xf numFmtId="2" fontId="19" fillId="36" borderId="19" xfId="0" applyNumberFormat="1" applyFont="1" applyFill="1" applyBorder="1" applyAlignment="1">
      <alignment horizontal="center"/>
    </xf>
    <xf numFmtId="0" fontId="27" fillId="0" borderId="0" xfId="0" applyFont="1" applyFill="1" applyAlignment="1">
      <alignment horizontal="left"/>
    </xf>
    <xf numFmtId="0" fontId="18" fillId="0" borderId="11" xfId="0" applyFont="1" applyBorder="1" applyAlignment="1">
      <alignment horizontal="center"/>
    </xf>
    <xf numFmtId="14" fontId="17" fillId="0" borderId="14" xfId="0" applyNumberFormat="1" applyFont="1" applyBorder="1" applyAlignment="1">
      <alignment horizontal="center"/>
    </xf>
    <xf numFmtId="0" fontId="22" fillId="36" borderId="0" xfId="0" applyFont="1" applyFill="1" applyAlignment="1">
      <alignment horizontal="center"/>
    </xf>
    <xf numFmtId="2" fontId="20" fillId="36" borderId="19" xfId="0" applyNumberFormat="1" applyFont="1" applyFill="1" applyBorder="1" applyAlignment="1">
      <alignment horizontal="center"/>
    </xf>
    <xf numFmtId="234" fontId="22" fillId="36" borderId="19" xfId="0" applyNumberFormat="1" applyFont="1" applyFill="1" applyBorder="1" applyAlignment="1">
      <alignment horizontal="center"/>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239" fontId="22" fillId="33" borderId="19" xfId="0" applyNumberFormat="1" applyFont="1" applyFill="1" applyBorder="1" applyAlignment="1">
      <alignment horizontal="center"/>
    </xf>
    <xf numFmtId="0" fontId="0" fillId="34" borderId="10" xfId="0" applyFill="1" applyBorder="1" applyAlignment="1">
      <alignment/>
    </xf>
    <xf numFmtId="0" fontId="9" fillId="34" borderId="16" xfId="0" applyFont="1" applyFill="1" applyBorder="1" applyAlignment="1">
      <alignment/>
    </xf>
    <xf numFmtId="0" fontId="0" fillId="34" borderId="17" xfId="0" applyFill="1" applyBorder="1" applyAlignment="1">
      <alignment/>
    </xf>
    <xf numFmtId="0" fontId="9" fillId="34" borderId="18" xfId="0" applyFont="1" applyFill="1" applyBorder="1" applyAlignment="1">
      <alignment/>
    </xf>
    <xf numFmtId="0" fontId="0" fillId="34" borderId="18" xfId="0" applyFill="1" applyBorder="1" applyAlignment="1">
      <alignment/>
    </xf>
    <xf numFmtId="0" fontId="0" fillId="34" borderId="13" xfId="0" applyFill="1" applyBorder="1" applyAlignment="1">
      <alignment/>
    </xf>
    <xf numFmtId="0" fontId="0" fillId="34" borderId="20" xfId="0" applyFill="1" applyBorder="1" applyAlignment="1">
      <alignment/>
    </xf>
    <xf numFmtId="0" fontId="0" fillId="0" borderId="20" xfId="0" applyFill="1" applyBorder="1" applyAlignment="1">
      <alignment/>
    </xf>
    <xf numFmtId="0" fontId="0" fillId="34" borderId="20" xfId="0" applyFont="1" applyFill="1" applyBorder="1" applyAlignment="1">
      <alignment/>
    </xf>
    <xf numFmtId="0" fontId="0" fillId="34" borderId="18" xfId="0" applyFont="1" applyFill="1" applyBorder="1" applyAlignment="1">
      <alignment/>
    </xf>
    <xf numFmtId="0" fontId="9" fillId="34" borderId="20" xfId="0" applyFont="1" applyFill="1" applyBorder="1" applyAlignment="1">
      <alignment/>
    </xf>
    <xf numFmtId="0" fontId="2" fillId="34" borderId="20" xfId="0" applyFont="1" applyFill="1" applyBorder="1" applyAlignment="1">
      <alignment/>
    </xf>
    <xf numFmtId="0" fontId="29" fillId="0" borderId="0" xfId="0" applyFont="1" applyFill="1" applyAlignment="1">
      <alignment/>
    </xf>
    <xf numFmtId="0" fontId="30" fillId="0" borderId="0" xfId="0" applyFont="1" applyFill="1" applyAlignment="1">
      <alignment/>
    </xf>
    <xf numFmtId="0" fontId="29" fillId="0" borderId="11" xfId="0" applyFont="1" applyFill="1" applyBorder="1" applyAlignment="1">
      <alignment/>
    </xf>
    <xf numFmtId="0" fontId="34" fillId="0" borderId="17" xfId="0" applyFont="1" applyFill="1" applyBorder="1" applyAlignment="1">
      <alignment vertical="top" wrapText="1"/>
    </xf>
    <xf numFmtId="0" fontId="34" fillId="0" borderId="0" xfId="0" applyFont="1" applyFill="1" applyAlignment="1">
      <alignment vertical="top" wrapText="1"/>
    </xf>
    <xf numFmtId="0" fontId="34" fillId="0" borderId="19" xfId="0" applyFont="1" applyFill="1" applyBorder="1" applyAlignment="1">
      <alignment vertical="top" wrapText="1"/>
    </xf>
    <xf numFmtId="0" fontId="35" fillId="0" borderId="19" xfId="0" applyFont="1" applyFill="1" applyBorder="1" applyAlignment="1">
      <alignment horizontal="left" vertical="top" wrapText="1"/>
    </xf>
    <xf numFmtId="0" fontId="35" fillId="0" borderId="19" xfId="0" applyFont="1" applyFill="1" applyBorder="1" applyAlignment="1">
      <alignment horizontal="center" vertical="top" wrapText="1"/>
    </xf>
    <xf numFmtId="0" fontId="36" fillId="0" borderId="19" xfId="0" applyFont="1" applyFill="1" applyBorder="1" applyAlignment="1">
      <alignment horizontal="center" vertical="top" wrapText="1"/>
    </xf>
    <xf numFmtId="0" fontId="37" fillId="0" borderId="19" xfId="0" applyFont="1" applyFill="1" applyBorder="1" applyAlignment="1">
      <alignment horizontal="center" vertical="top" wrapText="1"/>
    </xf>
    <xf numFmtId="0" fontId="31" fillId="0" borderId="0" xfId="0" applyFont="1" applyFill="1" applyAlignment="1">
      <alignment vertical="top"/>
    </xf>
    <xf numFmtId="0" fontId="33" fillId="0" borderId="0" xfId="0" applyFont="1" applyFill="1" applyBorder="1" applyAlignment="1">
      <alignment vertical="top"/>
    </xf>
    <xf numFmtId="0" fontId="31" fillId="0" borderId="11" xfId="0" applyFont="1" applyFill="1" applyBorder="1" applyAlignment="1">
      <alignment vertical="top"/>
    </xf>
    <xf numFmtId="0" fontId="34" fillId="0" borderId="19" xfId="0" applyFont="1" applyFill="1" applyBorder="1" applyAlignment="1">
      <alignment horizontal="center" vertical="top" wrapText="1"/>
    </xf>
    <xf numFmtId="232" fontId="35" fillId="0" borderId="19" xfId="0" applyNumberFormat="1" applyFont="1" applyBorder="1" applyAlignment="1">
      <alignment vertical="top" wrapText="1"/>
    </xf>
    <xf numFmtId="0" fontId="35" fillId="0" borderId="19" xfId="0" applyFont="1" applyFill="1" applyBorder="1" applyAlignment="1">
      <alignment horizontal="left" vertical="top" wrapText="1" indent="1"/>
    </xf>
    <xf numFmtId="0" fontId="34" fillId="0" borderId="0" xfId="0" applyFont="1" applyFill="1" applyBorder="1" applyAlignment="1">
      <alignment vertical="top" wrapText="1"/>
    </xf>
    <xf numFmtId="0" fontId="37" fillId="0" borderId="17" xfId="0" applyFont="1" applyFill="1" applyBorder="1" applyAlignment="1">
      <alignment vertical="top" wrapText="1"/>
    </xf>
    <xf numFmtId="0" fontId="37" fillId="0" borderId="0" xfId="0" applyFont="1" applyFill="1" applyBorder="1" applyAlignment="1">
      <alignment vertical="top" wrapText="1"/>
    </xf>
    <xf numFmtId="0" fontId="37" fillId="0" borderId="19" xfId="0" applyFont="1" applyFill="1" applyBorder="1" applyAlignment="1">
      <alignment vertical="top" wrapText="1"/>
    </xf>
    <xf numFmtId="232" fontId="36" fillId="0" borderId="19" xfId="0" applyNumberFormat="1" applyFont="1" applyFill="1" applyBorder="1" applyAlignment="1">
      <alignment vertical="top" wrapText="1"/>
    </xf>
    <xf numFmtId="0" fontId="36" fillId="0" borderId="19" xfId="0" applyFont="1" applyFill="1" applyBorder="1" applyAlignment="1">
      <alignment horizontal="left" vertical="top" wrapText="1" indent="1"/>
    </xf>
    <xf numFmtId="0" fontId="34" fillId="0" borderId="10" xfId="0" applyFont="1" applyFill="1" applyBorder="1" applyAlignment="1">
      <alignment vertical="top" wrapText="1"/>
    </xf>
    <xf numFmtId="0" fontId="34" fillId="0" borderId="11" xfId="0" applyFont="1" applyFill="1" applyBorder="1" applyAlignment="1">
      <alignment vertical="top" wrapText="1"/>
    </xf>
    <xf numFmtId="0" fontId="34" fillId="34" borderId="12" xfId="0" applyFont="1" applyFill="1" applyBorder="1" applyAlignment="1">
      <alignment vertical="top" wrapText="1"/>
    </xf>
    <xf numFmtId="0" fontId="35" fillId="34" borderId="12" xfId="0" applyFont="1" applyFill="1" applyBorder="1" applyAlignment="1">
      <alignment horizontal="center" vertical="top" wrapText="1"/>
    </xf>
    <xf numFmtId="0" fontId="36" fillId="34" borderId="10" xfId="0" applyFont="1" applyFill="1" applyBorder="1" applyAlignment="1">
      <alignment horizontal="center" vertical="top" wrapText="1"/>
    </xf>
    <xf numFmtId="0" fontId="37" fillId="34" borderId="11" xfId="0" applyFont="1" applyFill="1" applyBorder="1" applyAlignment="1">
      <alignment horizontal="center" vertical="top" wrapText="1"/>
    </xf>
    <xf numFmtId="0" fontId="34" fillId="34" borderId="11" xfId="0" applyFont="1" applyFill="1" applyBorder="1" applyAlignment="1">
      <alignment horizontal="center" vertical="top" wrapText="1"/>
    </xf>
    <xf numFmtId="0" fontId="34" fillId="34" borderId="16" xfId="0" applyFont="1" applyFill="1" applyBorder="1" applyAlignment="1">
      <alignment horizontal="center" vertical="top" wrapText="1"/>
    </xf>
    <xf numFmtId="0" fontId="35" fillId="34" borderId="10" xfId="0" applyFont="1" applyFill="1" applyBorder="1" applyAlignment="1">
      <alignment horizontal="center" vertical="top" wrapText="1"/>
    </xf>
    <xf numFmtId="0" fontId="35" fillId="34" borderId="16" xfId="0" applyFont="1" applyFill="1" applyBorder="1" applyAlignment="1">
      <alignment horizontal="center" vertical="top" wrapText="1"/>
    </xf>
    <xf numFmtId="0" fontId="35" fillId="34" borderId="12" xfId="0" applyFont="1" applyFill="1" applyBorder="1" applyAlignment="1">
      <alignment horizontal="left" vertical="top" wrapText="1" indent="1"/>
    </xf>
    <xf numFmtId="0" fontId="34" fillId="34" borderId="10" xfId="0" applyFont="1" applyFill="1" applyBorder="1" applyAlignment="1">
      <alignment horizontal="center" vertical="top" wrapText="1"/>
    </xf>
    <xf numFmtId="0" fontId="37" fillId="34" borderId="16" xfId="0" applyFont="1" applyFill="1" applyBorder="1" applyAlignment="1">
      <alignment horizontal="center" vertical="top" wrapText="1"/>
    </xf>
    <xf numFmtId="0" fontId="35" fillId="34" borderId="19" xfId="0" applyFont="1" applyFill="1" applyBorder="1" applyAlignment="1">
      <alignment horizontal="center" vertical="top" wrapText="1"/>
    </xf>
    <xf numFmtId="0" fontId="35" fillId="34" borderId="17" xfId="0" applyFont="1" applyFill="1" applyBorder="1" applyAlignment="1">
      <alignment horizontal="center" vertical="top" wrapText="1"/>
    </xf>
    <xf numFmtId="232" fontId="35" fillId="34" borderId="19" xfId="0" applyNumberFormat="1" applyFont="1" applyFill="1" applyBorder="1" applyAlignment="1">
      <alignment horizontal="center" vertical="top" wrapText="1"/>
    </xf>
    <xf numFmtId="0" fontId="37" fillId="34" borderId="17" xfId="0" applyFont="1" applyFill="1" applyBorder="1" applyAlignment="1">
      <alignment horizontal="centerContinuous" vertical="top" wrapText="1"/>
    </xf>
    <xf numFmtId="0" fontId="34" fillId="34" borderId="0" xfId="0" applyFont="1" applyFill="1" applyBorder="1" applyAlignment="1">
      <alignment horizontal="centerContinuous" vertical="top" wrapText="1"/>
    </xf>
    <xf numFmtId="0" fontId="37" fillId="34" borderId="0" xfId="0" applyFont="1" applyFill="1" applyBorder="1" applyAlignment="1">
      <alignment horizontal="centerContinuous" vertical="top" wrapText="1"/>
    </xf>
    <xf numFmtId="0" fontId="34" fillId="34" borderId="18" xfId="0" applyFont="1" applyFill="1" applyBorder="1" applyAlignment="1">
      <alignment horizontal="centerContinuous" vertical="top" wrapText="1"/>
    </xf>
    <xf numFmtId="0" fontId="35" fillId="34" borderId="18" xfId="0" applyFont="1" applyFill="1" applyBorder="1" applyAlignment="1">
      <alignment horizontal="center" vertical="top" wrapText="1"/>
    </xf>
    <xf numFmtId="0" fontId="35" fillId="34" borderId="17" xfId="0" applyFont="1" applyFill="1" applyBorder="1" applyAlignment="1">
      <alignment horizontal="centerContinuous" vertical="top" wrapText="1"/>
    </xf>
    <xf numFmtId="0" fontId="34" fillId="34" borderId="17"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7" fillId="34" borderId="0" xfId="0" applyFont="1" applyFill="1" applyBorder="1" applyAlignment="1">
      <alignment horizontal="center" vertical="top" wrapText="1"/>
    </xf>
    <xf numFmtId="0" fontId="34" fillId="34" borderId="18" xfId="0" applyFont="1" applyFill="1" applyBorder="1" applyAlignment="1">
      <alignment horizontal="center" vertical="top" wrapText="1"/>
    </xf>
    <xf numFmtId="0" fontId="37" fillId="34" borderId="18" xfId="0" applyFont="1" applyFill="1" applyBorder="1" applyAlignment="1">
      <alignment horizontal="center" vertical="top" wrapText="1"/>
    </xf>
    <xf numFmtId="0" fontId="34" fillId="34" borderId="19" xfId="0" applyFont="1" applyFill="1" applyBorder="1" applyAlignment="1">
      <alignment horizontal="centerContinuous" vertical="top" wrapText="1"/>
    </xf>
    <xf numFmtId="0" fontId="36" fillId="34" borderId="17" xfId="0" applyFont="1" applyFill="1" applyBorder="1" applyAlignment="1">
      <alignment horizontal="centerContinuous" vertical="top" wrapText="1"/>
    </xf>
    <xf numFmtId="0" fontId="36"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7" fillId="34" borderId="19" xfId="0" applyFont="1" applyFill="1" applyBorder="1" applyAlignment="1">
      <alignment horizontal="center" vertical="top" wrapText="1"/>
    </xf>
    <xf numFmtId="232" fontId="35" fillId="34" borderId="19" xfId="0" applyNumberFormat="1" applyFont="1" applyFill="1" applyBorder="1" applyAlignment="1">
      <alignment vertical="top" wrapText="1"/>
    </xf>
    <xf numFmtId="9" fontId="35" fillId="34" borderId="19" xfId="0" applyNumberFormat="1" applyFont="1" applyFill="1" applyBorder="1" applyAlignment="1">
      <alignment horizontal="center"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4" fillId="34" borderId="15" xfId="0" applyFont="1" applyFill="1" applyBorder="1" applyAlignment="1">
      <alignment horizontal="centerContinuous" vertical="top" wrapText="1"/>
    </xf>
    <xf numFmtId="0" fontId="35" fillId="34" borderId="15" xfId="0" applyFont="1" applyFill="1" applyBorder="1" applyAlignment="1">
      <alignment horizontal="center" vertical="top" wrapText="1"/>
    </xf>
    <xf numFmtId="0" fontId="34" fillId="34" borderId="15" xfId="0" applyFont="1" applyFill="1" applyBorder="1" applyAlignment="1">
      <alignment horizontal="center" vertical="top" wrapText="1"/>
    </xf>
    <xf numFmtId="0" fontId="35" fillId="34" borderId="15" xfId="0" applyNumberFormat="1" applyFont="1" applyFill="1" applyBorder="1" applyAlignment="1">
      <alignment horizontal="center" vertical="top" wrapText="1"/>
    </xf>
    <xf numFmtId="0" fontId="35" fillId="0" borderId="12" xfId="0" applyFont="1" applyFill="1" applyBorder="1" applyAlignment="1">
      <alignment horizontal="center" vertical="top" wrapText="1"/>
    </xf>
    <xf numFmtId="168" fontId="34" fillId="0" borderId="19" xfId="0" applyNumberFormat="1" applyFont="1" applyFill="1" applyBorder="1" applyAlignment="1">
      <alignment horizontal="center" vertical="top" wrapText="1"/>
    </xf>
    <xf numFmtId="169" fontId="35" fillId="0" borderId="19" xfId="0" applyNumberFormat="1" applyFont="1" applyFill="1" applyBorder="1" applyAlignment="1">
      <alignment horizontal="center" vertical="top" wrapText="1"/>
    </xf>
    <xf numFmtId="168" fontId="35" fillId="0" borderId="19" xfId="0" applyNumberFormat="1" applyFont="1" applyFill="1" applyBorder="1" applyAlignment="1">
      <alignment horizontal="center" vertical="top" wrapText="1"/>
    </xf>
    <xf numFmtId="174" fontId="35" fillId="0" borderId="19" xfId="0" applyNumberFormat="1" applyFont="1" applyFill="1" applyBorder="1" applyAlignment="1">
      <alignment horizontal="center" vertical="top" wrapText="1"/>
    </xf>
    <xf numFmtId="193" fontId="35" fillId="0" borderId="19" xfId="0" applyNumberFormat="1" applyFont="1" applyFill="1" applyBorder="1" applyAlignment="1">
      <alignment horizontal="center" vertical="top" wrapText="1"/>
    </xf>
    <xf numFmtId="3" fontId="34" fillId="0" borderId="19" xfId="0" applyNumberFormat="1" applyFont="1" applyFill="1" applyBorder="1" applyAlignment="1">
      <alignment horizontal="center" vertical="top" wrapText="1"/>
    </xf>
    <xf numFmtId="184" fontId="35" fillId="0" borderId="19" xfId="0" applyNumberFormat="1" applyFont="1" applyFill="1" applyBorder="1" applyAlignment="1">
      <alignment horizontal="center" vertical="top" wrapText="1"/>
    </xf>
    <xf numFmtId="182" fontId="35" fillId="0" borderId="19" xfId="0" applyNumberFormat="1" applyFont="1" applyFill="1" applyBorder="1" applyAlignment="1">
      <alignment horizontal="center" vertical="top" wrapText="1"/>
    </xf>
    <xf numFmtId="200" fontId="35" fillId="0" borderId="19" xfId="0" applyNumberFormat="1" applyFont="1" applyFill="1" applyBorder="1" applyAlignment="1">
      <alignment horizontal="center" vertical="top" wrapText="1"/>
    </xf>
    <xf numFmtId="1" fontId="35" fillId="0" borderId="19" xfId="0" applyNumberFormat="1" applyFont="1" applyFill="1" applyBorder="1" applyAlignment="1">
      <alignment horizontal="center" vertical="top" wrapText="1"/>
    </xf>
    <xf numFmtId="3" fontId="35" fillId="0" borderId="19"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41" fontId="35" fillId="0" borderId="19" xfId="0" applyNumberFormat="1" applyFont="1" applyFill="1" applyBorder="1" applyAlignment="1">
      <alignment horizontal="center" vertical="top" wrapText="1"/>
    </xf>
    <xf numFmtId="0" fontId="29" fillId="0" borderId="0" xfId="0" applyFont="1" applyFill="1" applyAlignment="1">
      <alignment vertical="top"/>
    </xf>
    <xf numFmtId="0" fontId="29" fillId="0" borderId="0" xfId="0" applyFont="1" applyFill="1" applyBorder="1" applyAlignment="1">
      <alignment vertical="top"/>
    </xf>
    <xf numFmtId="0" fontId="30" fillId="0" borderId="0" xfId="0" applyFont="1" applyFill="1" applyBorder="1" applyAlignment="1">
      <alignment vertical="top"/>
    </xf>
    <xf numFmtId="0" fontId="29" fillId="0" borderId="11" xfId="0" applyFont="1" applyFill="1" applyBorder="1" applyAlignment="1">
      <alignment vertical="top"/>
    </xf>
    <xf numFmtId="0" fontId="31" fillId="0" borderId="0" xfId="0" applyFont="1" applyFill="1" applyBorder="1" applyAlignment="1">
      <alignment vertical="top"/>
    </xf>
    <xf numFmtId="0" fontId="0" fillId="34" borderId="14"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1"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40" fillId="34" borderId="0" xfId="0" applyFont="1" applyFill="1" applyAlignment="1">
      <alignment/>
    </xf>
    <xf numFmtId="0" fontId="0" fillId="34" borderId="25" xfId="0" applyFill="1" applyBorder="1" applyAlignment="1">
      <alignment/>
    </xf>
    <xf numFmtId="0" fontId="0" fillId="37" borderId="25"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26" xfId="0" applyFill="1" applyBorder="1" applyAlignment="1">
      <alignment/>
    </xf>
    <xf numFmtId="0" fontId="0" fillId="0" borderId="0" xfId="0" applyAlignment="1">
      <alignment horizontal="right"/>
    </xf>
    <xf numFmtId="0" fontId="0" fillId="37" borderId="0" xfId="0" applyFill="1" applyBorder="1" applyAlignment="1">
      <alignment/>
    </xf>
    <xf numFmtId="0" fontId="6" fillId="34" borderId="14" xfId="0" applyFont="1" applyFill="1" applyBorder="1" applyAlignment="1">
      <alignment/>
    </xf>
    <xf numFmtId="0" fontId="0" fillId="0" borderId="23" xfId="0" applyBorder="1" applyAlignment="1">
      <alignment/>
    </xf>
    <xf numFmtId="0" fontId="0" fillId="0" borderId="11" xfId="0" applyBorder="1" applyAlignment="1">
      <alignment/>
    </xf>
    <xf numFmtId="0" fontId="0" fillId="34" borderId="11" xfId="0" applyFill="1" applyBorder="1" applyAlignment="1">
      <alignment/>
    </xf>
    <xf numFmtId="0" fontId="9" fillId="34" borderId="11" xfId="0" applyFont="1" applyFill="1" applyBorder="1" applyAlignment="1">
      <alignment/>
    </xf>
    <xf numFmtId="0" fontId="0" fillId="34" borderId="16" xfId="0" applyFill="1" applyBorder="1" applyAlignment="1">
      <alignment/>
    </xf>
    <xf numFmtId="0" fontId="9" fillId="34" borderId="14"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3"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3" xfId="0" applyNumberFormat="1" applyFont="1" applyFill="1" applyBorder="1" applyAlignment="1">
      <alignment/>
    </xf>
    <xf numFmtId="2" fontId="0" fillId="34" borderId="22"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8" fillId="34" borderId="0" xfId="0" applyFont="1" applyFill="1" applyAlignment="1">
      <alignment/>
    </xf>
    <xf numFmtId="2" fontId="9" fillId="36" borderId="26"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0" fontId="0" fillId="33" borderId="26" xfId="0" applyFont="1" applyFill="1" applyBorder="1" applyAlignment="1" applyProtection="1">
      <alignment/>
      <protection locked="0"/>
    </xf>
    <xf numFmtId="0" fontId="0" fillId="33" borderId="26"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1"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2" xfId="0" applyFill="1" applyBorder="1" applyAlignment="1">
      <alignment horizontal="right"/>
    </xf>
    <xf numFmtId="0" fontId="0" fillId="0" borderId="20" xfId="0" applyBorder="1" applyAlignment="1">
      <alignment/>
    </xf>
    <xf numFmtId="0" fontId="0" fillId="33" borderId="47" xfId="0" applyFill="1" applyBorder="1" applyAlignment="1" applyProtection="1">
      <alignment/>
      <protection locked="0"/>
    </xf>
    <xf numFmtId="0" fontId="35" fillId="0" borderId="0" xfId="0" applyFont="1" applyBorder="1" applyAlignment="1">
      <alignment horizontal="center" vertical="top" wrapText="1"/>
    </xf>
    <xf numFmtId="0" fontId="37" fillId="0" borderId="0" xfId="0" applyFont="1" applyFill="1" applyBorder="1" applyAlignment="1">
      <alignment horizontal="center" vertical="top" wrapText="1"/>
    </xf>
    <xf numFmtId="0" fontId="35" fillId="34" borderId="0" xfId="0" applyFont="1" applyFill="1" applyBorder="1" applyAlignment="1">
      <alignment horizontal="center" vertical="top" wrapText="1"/>
    </xf>
    <xf numFmtId="0" fontId="30" fillId="0" borderId="0" xfId="0" applyFont="1" applyFill="1" applyAlignment="1">
      <alignment vertical="top"/>
    </xf>
    <xf numFmtId="0" fontId="33" fillId="0" borderId="0" xfId="0" applyFont="1" applyFill="1" applyAlignment="1">
      <alignment vertical="top"/>
    </xf>
    <xf numFmtId="0" fontId="50" fillId="34" borderId="48" xfId="0" applyFont="1" applyFill="1" applyBorder="1" applyAlignment="1" applyProtection="1">
      <alignment/>
      <protection locked="0"/>
    </xf>
    <xf numFmtId="0" fontId="53"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9" xfId="0" applyFont="1" applyFill="1" applyBorder="1" applyAlignment="1">
      <alignment horizontal="right"/>
    </xf>
    <xf numFmtId="0" fontId="0" fillId="34" borderId="50" xfId="0" applyFill="1" applyBorder="1" applyAlignment="1">
      <alignment/>
    </xf>
    <xf numFmtId="0" fontId="0" fillId="40" borderId="26" xfId="0" applyFont="1" applyFill="1" applyBorder="1" applyAlignment="1" applyProtection="1">
      <alignment/>
      <protection locked="0"/>
    </xf>
    <xf numFmtId="2" fontId="0" fillId="33" borderId="51" xfId="0" applyNumberFormat="1" applyFont="1" applyFill="1" applyBorder="1" applyAlignment="1" applyProtection="1">
      <alignment horizontal="center"/>
      <protection locked="0"/>
    </xf>
    <xf numFmtId="2" fontId="0" fillId="33" borderId="52"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2" fontId="0" fillId="36" borderId="52" xfId="0" applyNumberFormat="1" applyFont="1" applyFill="1" applyBorder="1" applyAlignment="1" applyProtection="1">
      <alignment horizontal="center"/>
      <protection locked="0"/>
    </xf>
    <xf numFmtId="0" fontId="56"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9"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4" xfId="0" applyFill="1" applyBorder="1" applyAlignment="1">
      <alignment/>
    </xf>
    <xf numFmtId="2" fontId="57" fillId="34" borderId="23" xfId="0" applyNumberFormat="1" applyFont="1" applyFill="1" applyBorder="1" applyAlignment="1">
      <alignment/>
    </xf>
    <xf numFmtId="2" fontId="0" fillId="34" borderId="53" xfId="0" applyNumberFormat="1" applyFont="1" applyFill="1" applyBorder="1" applyAlignment="1">
      <alignment/>
    </xf>
    <xf numFmtId="2" fontId="57"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9" fillId="34" borderId="41" xfId="0" applyNumberFormat="1" applyFont="1" applyFill="1" applyBorder="1" applyAlignment="1">
      <alignment/>
    </xf>
    <xf numFmtId="2" fontId="49"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40" fillId="34" borderId="28" xfId="0" applyFont="1" applyFill="1" applyBorder="1" applyAlignment="1">
      <alignment/>
    </xf>
    <xf numFmtId="0" fontId="0" fillId="34" borderId="50" xfId="0" applyFill="1" applyBorder="1" applyAlignment="1">
      <alignment horizontal="right"/>
    </xf>
    <xf numFmtId="0" fontId="9" fillId="34" borderId="50" xfId="0" applyFont="1" applyFill="1" applyBorder="1" applyAlignment="1">
      <alignment/>
    </xf>
    <xf numFmtId="0" fontId="40" fillId="34" borderId="23" xfId="0" applyFont="1" applyFill="1" applyBorder="1" applyAlignment="1">
      <alignment/>
    </xf>
    <xf numFmtId="0" fontId="9" fillId="34" borderId="0" xfId="0" applyFont="1" applyFill="1" applyBorder="1" applyAlignment="1">
      <alignment horizontal="right"/>
    </xf>
    <xf numFmtId="0" fontId="40"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50" xfId="0" applyFont="1" applyFill="1" applyBorder="1" applyAlignment="1">
      <alignment horizontal="left"/>
    </xf>
    <xf numFmtId="0" fontId="40"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4" xfId="0" applyFont="1" applyFill="1" applyBorder="1" applyAlignment="1" applyProtection="1">
      <alignment horizontal="right"/>
      <protection locked="0"/>
    </xf>
    <xf numFmtId="0" fontId="0" fillId="34" borderId="23" xfId="0" applyFont="1" applyFill="1" applyBorder="1" applyAlignment="1">
      <alignment/>
    </xf>
    <xf numFmtId="0" fontId="44" fillId="34" borderId="46" xfId="0" applyFont="1" applyFill="1" applyBorder="1" applyAlignment="1">
      <alignment/>
    </xf>
    <xf numFmtId="0" fontId="44" fillId="39" borderId="0" xfId="0" applyFont="1" applyFill="1" applyBorder="1" applyAlignment="1">
      <alignment/>
    </xf>
    <xf numFmtId="0" fontId="6" fillId="39" borderId="0" xfId="0" applyFont="1" applyFill="1" applyBorder="1" applyAlignment="1">
      <alignment/>
    </xf>
    <xf numFmtId="0" fontId="40" fillId="39" borderId="0" xfId="0" applyFont="1" applyFill="1" applyAlignment="1">
      <alignment/>
    </xf>
    <xf numFmtId="0" fontId="0" fillId="39" borderId="0" xfId="0" applyFill="1" applyAlignment="1">
      <alignment horizontal="right"/>
    </xf>
    <xf numFmtId="0" fontId="45" fillId="39" borderId="0" xfId="0" applyFont="1" applyFill="1" applyBorder="1" applyAlignment="1">
      <alignment/>
    </xf>
    <xf numFmtId="0" fontId="6" fillId="34" borderId="32" xfId="0" applyFont="1" applyFill="1" applyBorder="1" applyAlignment="1">
      <alignment/>
    </xf>
    <xf numFmtId="0" fontId="0" fillId="34" borderId="55"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50" xfId="0" applyFont="1" applyFill="1" applyBorder="1" applyAlignment="1">
      <alignment/>
    </xf>
    <xf numFmtId="2" fontId="9" fillId="34" borderId="56" xfId="0" applyNumberFormat="1" applyFont="1" applyFill="1" applyBorder="1" applyAlignment="1">
      <alignment/>
    </xf>
    <xf numFmtId="2" fontId="9" fillId="34" borderId="57" xfId="0" applyNumberFormat="1" applyFont="1" applyFill="1" applyBorder="1" applyAlignment="1">
      <alignment/>
    </xf>
    <xf numFmtId="0" fontId="0" fillId="0" borderId="50" xfId="0" applyBorder="1" applyAlignment="1">
      <alignment horizontal="right"/>
    </xf>
    <xf numFmtId="0" fontId="2" fillId="34" borderId="0" xfId="0" applyFont="1" applyFill="1" applyBorder="1" applyAlignment="1">
      <alignment/>
    </xf>
    <xf numFmtId="0" fontId="52" fillId="34" borderId="0" xfId="0" applyFont="1" applyFill="1" applyAlignment="1">
      <alignment/>
    </xf>
    <xf numFmtId="0" fontId="54" fillId="37" borderId="0" xfId="0" applyFont="1" applyFill="1" applyAlignment="1">
      <alignment/>
    </xf>
    <xf numFmtId="0" fontId="58" fillId="37" borderId="0" xfId="0" applyFont="1" applyFill="1" applyBorder="1" applyAlignment="1">
      <alignment/>
    </xf>
    <xf numFmtId="2" fontId="0" fillId="33" borderId="58" xfId="0" applyNumberFormat="1" applyFont="1" applyFill="1" applyBorder="1" applyAlignment="1" applyProtection="1">
      <alignment horizontal="center"/>
      <protection locked="0"/>
    </xf>
    <xf numFmtId="2" fontId="0" fillId="36" borderId="58" xfId="0" applyNumberFormat="1" applyFont="1" applyFill="1" applyBorder="1" applyAlignment="1" applyProtection="1">
      <alignment horizontal="center"/>
      <protection locked="0"/>
    </xf>
    <xf numFmtId="2" fontId="6" fillId="36" borderId="26" xfId="0" applyNumberFormat="1" applyFont="1" applyFill="1" applyBorder="1" applyAlignment="1">
      <alignment/>
    </xf>
    <xf numFmtId="2" fontId="49" fillId="0" borderId="42" xfId="0" applyNumberFormat="1" applyFont="1" applyFill="1" applyBorder="1" applyAlignment="1">
      <alignment horizontal="right"/>
    </xf>
    <xf numFmtId="0" fontId="0" fillId="34" borderId="59" xfId="0" applyFill="1" applyBorder="1" applyAlignment="1">
      <alignment/>
    </xf>
    <xf numFmtId="0" fontId="59" fillId="34" borderId="0" xfId="0" applyFont="1" applyFill="1" applyAlignment="1">
      <alignment/>
    </xf>
    <xf numFmtId="0" fontId="0" fillId="34" borderId="0" xfId="0" applyFill="1" applyAlignment="1" applyProtection="1">
      <alignment/>
      <protection/>
    </xf>
    <xf numFmtId="0" fontId="0" fillId="39"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4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6"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179" fontId="0" fillId="36" borderId="0" xfId="0" applyNumberFormat="1" applyFill="1" applyAlignment="1" applyProtection="1">
      <alignment/>
      <protection/>
    </xf>
    <xf numFmtId="0" fontId="0" fillId="40" borderId="60"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50" xfId="0" applyFill="1" applyBorder="1" applyAlignment="1" applyProtection="1">
      <alignment/>
      <protection/>
    </xf>
    <xf numFmtId="0" fontId="52"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6" fillId="43" borderId="0" xfId="0" applyFont="1" applyFill="1" applyBorder="1" applyAlignment="1" applyProtection="1">
      <alignment/>
      <protection/>
    </xf>
    <xf numFmtId="0" fontId="0" fillId="43" borderId="0" xfId="0" applyFill="1" applyBorder="1" applyAlignment="1" applyProtection="1">
      <alignment/>
      <protection/>
    </xf>
    <xf numFmtId="0" fontId="52"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9" fillId="42"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1" xfId="0" applyFont="1" applyFill="1" applyBorder="1" applyAlignment="1" applyProtection="1">
      <alignment/>
      <protection/>
    </xf>
    <xf numFmtId="179" fontId="55" fillId="42" borderId="62"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1" xfId="0" applyFont="1" applyFill="1" applyBorder="1" applyAlignment="1" applyProtection="1">
      <alignment/>
      <protection/>
    </xf>
    <xf numFmtId="179" fontId="55" fillId="36" borderId="62"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3"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3"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4" fillId="42" borderId="26" xfId="0" applyNumberFormat="1" applyFont="1" applyFill="1" applyBorder="1" applyAlignment="1" applyProtection="1">
      <alignment/>
      <protection/>
    </xf>
    <xf numFmtId="0" fontId="54" fillId="42" borderId="63" xfId="0" applyFont="1" applyFill="1" applyBorder="1" applyAlignment="1" applyProtection="1">
      <alignment horizontal="right"/>
      <protection/>
    </xf>
    <xf numFmtId="0" fontId="54" fillId="42" borderId="62"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4" fillId="34" borderId="0" xfId="0" applyFont="1" applyFill="1" applyBorder="1" applyAlignment="1" applyProtection="1">
      <alignment horizontal="right"/>
      <protection/>
    </xf>
    <xf numFmtId="0" fontId="54"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26" xfId="0" applyFill="1" applyBorder="1" applyAlignment="1" applyProtection="1">
      <alignment/>
      <protection/>
    </xf>
    <xf numFmtId="0" fontId="41" fillId="44" borderId="15" xfId="0" applyFont="1" applyFill="1" applyBorder="1" applyAlignment="1" applyProtection="1">
      <alignment horizontal="right"/>
      <protection/>
    </xf>
    <xf numFmtId="0" fontId="0" fillId="44" borderId="26" xfId="0" applyFont="1" applyFill="1" applyBorder="1" applyAlignment="1" applyProtection="1">
      <alignment/>
      <protection/>
    </xf>
    <xf numFmtId="0" fontId="0" fillId="44" borderId="0" xfId="0" applyFill="1" applyAlignment="1" applyProtection="1">
      <alignment/>
      <protection/>
    </xf>
    <xf numFmtId="0" fontId="50" fillId="34" borderId="48" xfId="0" applyFont="1" applyFill="1" applyBorder="1" applyAlignment="1" applyProtection="1">
      <alignment/>
      <protection/>
    </xf>
    <xf numFmtId="0" fontId="9" fillId="34" borderId="0" xfId="0" applyFont="1" applyFill="1" applyBorder="1" applyAlignment="1" applyProtection="1">
      <alignment/>
      <protection/>
    </xf>
    <xf numFmtId="0" fontId="60" fillId="34" borderId="64" xfId="0" applyFont="1" applyFill="1" applyBorder="1" applyAlignment="1" applyProtection="1">
      <alignment/>
      <protection/>
    </xf>
    <xf numFmtId="0" fontId="6" fillId="41" borderId="21" xfId="0" applyFont="1" applyFill="1" applyBorder="1" applyAlignment="1" applyProtection="1">
      <alignment/>
      <protection/>
    </xf>
    <xf numFmtId="0" fontId="0" fillId="41" borderId="45" xfId="0" applyFill="1" applyBorder="1" applyAlignment="1" applyProtection="1">
      <alignment/>
      <protection/>
    </xf>
    <xf numFmtId="0" fontId="0" fillId="41" borderId="65" xfId="0" applyFill="1" applyBorder="1" applyAlignment="1" applyProtection="1">
      <alignment/>
      <protection/>
    </xf>
    <xf numFmtId="0" fontId="2" fillId="34" borderId="0" xfId="0" applyFont="1" applyFill="1" applyAlignment="1" applyProtection="1">
      <alignment horizontal="right"/>
      <protection/>
    </xf>
    <xf numFmtId="0" fontId="0" fillId="34" borderId="24" xfId="0" applyFill="1" applyBorder="1" applyAlignment="1" applyProtection="1">
      <alignment/>
      <protection/>
    </xf>
    <xf numFmtId="0" fontId="0" fillId="34" borderId="22" xfId="0" applyFill="1" applyBorder="1" applyAlignment="1" applyProtection="1">
      <alignment/>
      <protection/>
    </xf>
    <xf numFmtId="0" fontId="9" fillId="34" borderId="26" xfId="0" applyFont="1" applyFill="1" applyBorder="1" applyAlignment="1" applyProtection="1">
      <alignment/>
      <protection/>
    </xf>
    <xf numFmtId="0" fontId="9" fillId="34" borderId="21" xfId="0" applyFont="1" applyFill="1" applyBorder="1" applyAlignment="1" applyProtection="1">
      <alignment/>
      <protection/>
    </xf>
    <xf numFmtId="0" fontId="9" fillId="34" borderId="51" xfId="0" applyFont="1" applyFill="1" applyBorder="1" applyAlignment="1" applyProtection="1">
      <alignment/>
      <protection/>
    </xf>
    <xf numFmtId="0" fontId="9" fillId="34" borderId="66" xfId="0" applyFont="1" applyFill="1" applyBorder="1" applyAlignment="1" applyProtection="1">
      <alignment/>
      <protection/>
    </xf>
    <xf numFmtId="0" fontId="0" fillId="34" borderId="23" xfId="0" applyFill="1" applyBorder="1" applyAlignment="1" applyProtection="1">
      <alignment/>
      <protection/>
    </xf>
    <xf numFmtId="0" fontId="0" fillId="36" borderId="23" xfId="0" applyFill="1" applyBorder="1" applyAlignment="1" applyProtection="1">
      <alignment/>
      <protection/>
    </xf>
    <xf numFmtId="9" fontId="0" fillId="36" borderId="23" xfId="0" applyNumberFormat="1" applyFill="1" applyBorder="1" applyAlignment="1" applyProtection="1">
      <alignment/>
      <protection/>
    </xf>
    <xf numFmtId="0" fontId="42"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3" xfId="0" applyBorder="1" applyAlignment="1" applyProtection="1">
      <alignment/>
      <protection/>
    </xf>
    <xf numFmtId="232" fontId="35" fillId="0" borderId="0" xfId="0" applyNumberFormat="1" applyFont="1" applyFill="1" applyBorder="1" applyAlignment="1" applyProtection="1">
      <alignment horizontal="center" vertical="top" wrapText="1"/>
      <protection/>
    </xf>
    <xf numFmtId="244" fontId="0" fillId="34" borderId="22" xfId="0" applyNumberFormat="1" applyFill="1" applyBorder="1" applyAlignment="1" applyProtection="1">
      <alignment/>
      <protection/>
    </xf>
    <xf numFmtId="244" fontId="0" fillId="39" borderId="0" xfId="0" applyNumberFormat="1" applyFill="1" applyBorder="1" applyAlignment="1" applyProtection="1">
      <alignment/>
      <protection/>
    </xf>
    <xf numFmtId="2" fontId="0" fillId="36" borderId="23" xfId="0" applyNumberFormat="1" applyFill="1" applyBorder="1" applyAlignment="1" applyProtection="1">
      <alignment/>
      <protection/>
    </xf>
    <xf numFmtId="0" fontId="0" fillId="0" borderId="22" xfId="0" applyBorder="1" applyAlignment="1" applyProtection="1">
      <alignment/>
      <protection/>
    </xf>
    <xf numFmtId="0" fontId="0" fillId="34" borderId="27" xfId="0" applyFill="1" applyBorder="1" applyAlignment="1" applyProtection="1">
      <alignment/>
      <protection/>
    </xf>
    <xf numFmtId="0" fontId="0" fillId="34" borderId="52" xfId="0" applyFill="1" applyBorder="1" applyAlignment="1" applyProtection="1">
      <alignment/>
      <protection/>
    </xf>
    <xf numFmtId="0" fontId="0" fillId="34" borderId="21" xfId="0" applyFill="1" applyBorder="1" applyAlignment="1" applyProtection="1">
      <alignment/>
      <protection/>
    </xf>
    <xf numFmtId="0" fontId="0" fillId="34" borderId="30" xfId="0" applyFill="1" applyBorder="1" applyAlignment="1" applyProtection="1">
      <alignment/>
      <protection/>
    </xf>
    <xf numFmtId="1" fontId="0" fillId="38" borderId="23" xfId="0" applyNumberFormat="1" applyFont="1" applyFill="1" applyBorder="1" applyAlignment="1" applyProtection="1">
      <alignment/>
      <protection/>
    </xf>
    <xf numFmtId="0" fontId="0" fillId="34" borderId="14" xfId="0" applyFill="1" applyBorder="1" applyAlignment="1" applyProtection="1">
      <alignment/>
      <protection/>
    </xf>
    <xf numFmtId="0" fontId="38"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7"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3"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2"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8" fillId="34" borderId="67" xfId="0" applyFont="1" applyFill="1" applyBorder="1" applyAlignment="1" applyProtection="1">
      <alignment vertical="top" wrapText="1"/>
      <protection/>
    </xf>
    <xf numFmtId="0" fontId="54" fillId="34" borderId="23" xfId="0" applyFont="1" applyFill="1" applyBorder="1" applyAlignment="1" applyProtection="1">
      <alignment horizontal="right"/>
      <protection/>
    </xf>
    <xf numFmtId="2" fontId="0" fillId="38" borderId="11" xfId="0" applyNumberFormat="1" applyFill="1" applyBorder="1" applyAlignment="1" applyProtection="1">
      <alignment/>
      <protection/>
    </xf>
    <xf numFmtId="0" fontId="2" fillId="34" borderId="23" xfId="0" applyFont="1" applyFill="1" applyBorder="1" applyAlignment="1" applyProtection="1">
      <alignment horizontal="right"/>
      <protection/>
    </xf>
    <xf numFmtId="2" fontId="0" fillId="38" borderId="69" xfId="0" applyNumberFormat="1" applyFill="1" applyBorder="1" applyAlignment="1" applyProtection="1">
      <alignment/>
      <protection/>
    </xf>
    <xf numFmtId="2" fontId="9" fillId="45" borderId="70" xfId="0" applyNumberFormat="1" applyFont="1" applyFill="1" applyBorder="1" applyAlignment="1" applyProtection="1">
      <alignment/>
      <protection/>
    </xf>
    <xf numFmtId="0" fontId="2"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4" fillId="34" borderId="28" xfId="0" applyFont="1" applyFill="1" applyBorder="1" applyAlignment="1" applyProtection="1">
      <alignment horizontal="right"/>
      <protection/>
    </xf>
    <xf numFmtId="2" fontId="9" fillId="45" borderId="67" xfId="0" applyNumberFormat="1" applyFont="1" applyFill="1" applyBorder="1" applyAlignment="1" applyProtection="1">
      <alignment/>
      <protection/>
    </xf>
    <xf numFmtId="242" fontId="9" fillId="34" borderId="72" xfId="47" applyNumberFormat="1" applyFont="1" applyFill="1" applyBorder="1" applyAlignment="1" applyProtection="1">
      <alignment horizontal="right"/>
      <protection/>
    </xf>
    <xf numFmtId="0" fontId="0" fillId="34" borderId="23" xfId="0" applyFont="1" applyFill="1" applyBorder="1" applyAlignment="1" applyProtection="1">
      <alignment horizontal="right"/>
      <protection/>
    </xf>
    <xf numFmtId="242" fontId="14" fillId="34" borderId="0" xfId="47" applyNumberFormat="1" applyFont="1" applyFill="1" applyBorder="1" applyAlignment="1" applyProtection="1">
      <alignment horizontal="right"/>
      <protection/>
    </xf>
    <xf numFmtId="242" fontId="14" fillId="39" borderId="0" xfId="47" applyNumberFormat="1" applyFont="1" applyFill="1" applyBorder="1" applyAlignment="1" applyProtection="1">
      <alignment horizontal="right"/>
      <protection/>
    </xf>
    <xf numFmtId="43" fontId="9" fillId="34" borderId="72" xfId="47" applyNumberFormat="1" applyFont="1" applyFill="1" applyBorder="1" applyAlignment="1" applyProtection="1">
      <alignment horizontal="right"/>
      <protection/>
    </xf>
    <xf numFmtId="242" fontId="9" fillId="34" borderId="0" xfId="47" applyNumberFormat="1" applyFont="1" applyFill="1" applyBorder="1" applyAlignment="1" applyProtection="1">
      <alignment horizontal="right"/>
      <protection/>
    </xf>
    <xf numFmtId="0" fontId="47" fillId="34" borderId="44" xfId="0" applyFont="1" applyFill="1" applyBorder="1" applyAlignment="1" applyProtection="1">
      <alignment/>
      <protection/>
    </xf>
    <xf numFmtId="0" fontId="43" fillId="34" borderId="0" xfId="0" applyFont="1" applyFill="1" applyAlignment="1" applyProtection="1">
      <alignment/>
      <protection/>
    </xf>
    <xf numFmtId="0" fontId="0" fillId="34" borderId="0" xfId="0" applyFont="1" applyFill="1" applyAlignment="1" applyProtection="1">
      <alignment/>
      <protection/>
    </xf>
    <xf numFmtId="0" fontId="39" fillId="34" borderId="0" xfId="0" applyFont="1" applyFill="1" applyAlignment="1" applyProtection="1">
      <alignment/>
      <protection/>
    </xf>
    <xf numFmtId="0" fontId="0" fillId="34" borderId="0" xfId="0" applyFill="1" applyAlignment="1" applyProtection="1">
      <alignment horizontal="left"/>
      <protection/>
    </xf>
    <xf numFmtId="243" fontId="54" fillId="34" borderId="26" xfId="0" applyNumberFormat="1" applyFont="1" applyFill="1" applyBorder="1" applyAlignment="1" applyProtection="1">
      <alignment/>
      <protection/>
    </xf>
    <xf numFmtId="243" fontId="42" fillId="39" borderId="0" xfId="0" applyNumberFormat="1" applyFont="1" applyFill="1" applyBorder="1" applyAlignment="1" applyProtection="1">
      <alignment/>
      <protection/>
    </xf>
    <xf numFmtId="0" fontId="58" fillId="34" borderId="0" xfId="0" applyFont="1" applyFill="1" applyAlignment="1" applyProtection="1">
      <alignment horizontal="left"/>
      <protection/>
    </xf>
    <xf numFmtId="0" fontId="58"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9" fillId="43" borderId="0" xfId="0" applyFont="1" applyFill="1" applyBorder="1" applyAlignment="1" applyProtection="1">
      <alignment/>
      <protection/>
    </xf>
    <xf numFmtId="0" fontId="0" fillId="40" borderId="73"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26"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50" xfId="0" applyFill="1" applyBorder="1" applyAlignment="1" applyProtection="1">
      <alignment/>
      <protection locked="0"/>
    </xf>
    <xf numFmtId="0" fontId="35" fillId="0" borderId="17" xfId="0" applyFont="1" applyFill="1" applyBorder="1" applyAlignment="1">
      <alignment horizontal="center" vertical="top" wrapText="1"/>
    </xf>
    <xf numFmtId="0" fontId="36" fillId="0" borderId="17" xfId="0" applyFont="1" applyFill="1" applyBorder="1" applyAlignment="1">
      <alignment horizontal="center" vertical="top" wrapText="1"/>
    </xf>
    <xf numFmtId="0" fontId="34" fillId="0" borderId="17" xfId="0" applyFont="1" applyFill="1" applyBorder="1" applyAlignment="1">
      <alignment horizontal="center" vertical="top" wrapText="1"/>
    </xf>
    <xf numFmtId="0" fontId="29" fillId="0" borderId="17" xfId="0" applyFont="1" applyFill="1" applyBorder="1" applyAlignment="1">
      <alignment/>
    </xf>
    <xf numFmtId="0" fontId="29" fillId="0" borderId="0" xfId="0" applyFont="1" applyFill="1" applyBorder="1" applyAlignment="1">
      <alignment/>
    </xf>
    <xf numFmtId="0" fontId="31" fillId="46" borderId="17" xfId="0" applyFont="1" applyFill="1" applyBorder="1" applyAlignment="1">
      <alignment horizontal="center" vertical="top"/>
    </xf>
    <xf numFmtId="0" fontId="31" fillId="46" borderId="19" xfId="0" applyFont="1" applyFill="1" applyBorder="1" applyAlignment="1">
      <alignment horizontal="center" vertical="top"/>
    </xf>
    <xf numFmtId="0" fontId="29" fillId="0" borderId="19" xfId="0" applyFont="1" applyFill="1" applyBorder="1" applyAlignment="1">
      <alignment/>
    </xf>
    <xf numFmtId="232" fontId="35" fillId="0" borderId="19" xfId="0" applyNumberFormat="1" applyFont="1" applyFill="1" applyBorder="1" applyAlignment="1">
      <alignment horizontal="center" vertical="top" wrapText="1"/>
    </xf>
    <xf numFmtId="0" fontId="29" fillId="0" borderId="17" xfId="0" applyFont="1" applyFill="1" applyBorder="1" applyAlignment="1">
      <alignment horizontal="center"/>
    </xf>
    <xf numFmtId="168" fontId="34" fillId="0" borderId="0" xfId="0" applyNumberFormat="1" applyFont="1" applyFill="1" applyBorder="1" applyAlignment="1">
      <alignment horizontal="center" vertical="top" wrapText="1"/>
    </xf>
    <xf numFmtId="169" fontId="35" fillId="0" borderId="17" xfId="0" applyNumberFormat="1" applyFont="1" applyFill="1" applyBorder="1" applyAlignment="1">
      <alignment horizontal="center" vertical="top" wrapText="1"/>
    </xf>
    <xf numFmtId="168" fontId="35" fillId="0" borderId="17" xfId="0" applyNumberFormat="1" applyFont="1" applyFill="1" applyBorder="1" applyAlignment="1">
      <alignment horizontal="center" vertical="top" wrapText="1"/>
    </xf>
    <xf numFmtId="173" fontId="36" fillId="0" borderId="17" xfId="0" applyNumberFormat="1" applyFont="1" applyFill="1" applyBorder="1" applyAlignment="1">
      <alignment horizontal="center" vertical="top" wrapText="1"/>
    </xf>
    <xf numFmtId="172" fontId="34" fillId="0" borderId="17" xfId="0" applyNumberFormat="1" applyFont="1" applyFill="1" applyBorder="1" applyAlignment="1">
      <alignment horizontal="center" vertical="top" wrapText="1"/>
    </xf>
    <xf numFmtId="13" fontId="35" fillId="0" borderId="17" xfId="0" applyNumberFormat="1" applyFont="1" applyFill="1" applyBorder="1" applyAlignment="1">
      <alignment horizontal="center" vertical="top" wrapText="1"/>
    </xf>
    <xf numFmtId="174" fontId="35" fillId="0" borderId="17" xfId="0" applyNumberFormat="1" applyFont="1" applyFill="1" applyBorder="1" applyAlignment="1">
      <alignment horizontal="center" vertical="top" wrapText="1"/>
    </xf>
    <xf numFmtId="2" fontId="36" fillId="0" borderId="17" xfId="0" applyNumberFormat="1" applyFont="1" applyFill="1" applyBorder="1" applyAlignment="1">
      <alignment horizontal="center" vertical="top" wrapText="1"/>
    </xf>
    <xf numFmtId="182" fontId="35" fillId="0" borderId="17" xfId="0" applyNumberFormat="1" applyFont="1" applyFill="1" applyBorder="1" applyAlignment="1">
      <alignment horizontal="center" vertical="top" wrapText="1"/>
    </xf>
    <xf numFmtId="166" fontId="34" fillId="0" borderId="17" xfId="0" applyNumberFormat="1" applyFont="1" applyFill="1" applyBorder="1" applyAlignment="1">
      <alignment horizontal="center" vertical="top" wrapText="1"/>
    </xf>
    <xf numFmtId="232" fontId="36" fillId="0" borderId="17" xfId="0" applyNumberFormat="1" applyFont="1" applyFill="1" applyBorder="1" applyAlignment="1">
      <alignment horizontal="center" vertical="top" wrapText="1"/>
    </xf>
    <xf numFmtId="176" fontId="35" fillId="0" borderId="17" xfId="0" applyNumberFormat="1" applyFont="1" applyFill="1" applyBorder="1" applyAlignment="1">
      <alignment horizontal="center" vertical="top" wrapText="1"/>
    </xf>
    <xf numFmtId="177" fontId="34" fillId="0" borderId="17" xfId="0" applyNumberFormat="1" applyFont="1" applyFill="1" applyBorder="1" applyAlignment="1">
      <alignment horizontal="center" vertical="top" wrapText="1"/>
    </xf>
    <xf numFmtId="180" fontId="35" fillId="0" borderId="17" xfId="0" applyNumberFormat="1" applyFont="1" applyFill="1" applyBorder="1" applyAlignment="1">
      <alignment horizontal="center" vertical="top" wrapText="1"/>
    </xf>
    <xf numFmtId="172" fontId="35" fillId="0" borderId="17" xfId="0" applyNumberFormat="1" applyFont="1" applyFill="1" applyBorder="1" applyAlignment="1">
      <alignment horizontal="center" vertical="top" wrapText="1"/>
    </xf>
    <xf numFmtId="184" fontId="35" fillId="0" borderId="17" xfId="0" applyNumberFormat="1" applyFont="1" applyFill="1" applyBorder="1" applyAlignment="1">
      <alignment horizontal="center" vertical="top" wrapText="1"/>
    </xf>
    <xf numFmtId="208" fontId="34" fillId="0" borderId="17" xfId="0" applyNumberFormat="1" applyFont="1" applyFill="1" applyBorder="1" applyAlignment="1">
      <alignment horizontal="center" vertical="top" wrapText="1"/>
    </xf>
    <xf numFmtId="231" fontId="35" fillId="0" borderId="17" xfId="0" applyNumberFormat="1" applyFont="1" applyFill="1" applyBorder="1" applyAlignment="1">
      <alignment horizontal="center" vertical="top" wrapText="1"/>
    </xf>
    <xf numFmtId="185" fontId="34" fillId="0" borderId="17" xfId="0" applyNumberFormat="1" applyFont="1" applyFill="1" applyBorder="1" applyAlignment="1">
      <alignment horizontal="center" vertical="top" wrapText="1"/>
    </xf>
    <xf numFmtId="188" fontId="34" fillId="0" borderId="17" xfId="0" applyNumberFormat="1" applyFont="1" applyFill="1" applyBorder="1" applyAlignment="1">
      <alignment horizontal="center" vertical="top" wrapText="1"/>
    </xf>
    <xf numFmtId="166" fontId="35" fillId="0" borderId="17" xfId="0" applyNumberFormat="1" applyFont="1" applyFill="1" applyBorder="1" applyAlignment="1">
      <alignment horizontal="center" vertical="top" wrapText="1"/>
    </xf>
    <xf numFmtId="215" fontId="35" fillId="0" borderId="17" xfId="0" applyNumberFormat="1" applyFont="1" applyFill="1" applyBorder="1" applyAlignment="1">
      <alignment horizontal="center" vertical="top" wrapText="1"/>
    </xf>
    <xf numFmtId="206" fontId="35" fillId="0" borderId="17" xfId="0" applyNumberFormat="1" applyFont="1" applyFill="1" applyBorder="1" applyAlignment="1">
      <alignment horizontal="center" vertical="top" wrapText="1"/>
    </xf>
    <xf numFmtId="193" fontId="35" fillId="0" borderId="17" xfId="0" applyNumberFormat="1" applyFont="1" applyFill="1" applyBorder="1" applyAlignment="1">
      <alignment horizontal="center" vertical="top" wrapText="1"/>
    </xf>
    <xf numFmtId="167" fontId="34" fillId="0" borderId="17" xfId="0" applyNumberFormat="1" applyFont="1" applyFill="1" applyBorder="1" applyAlignment="1">
      <alignment horizontal="center" vertical="top" wrapText="1"/>
    </xf>
    <xf numFmtId="167" fontId="35" fillId="0" borderId="17" xfId="0" applyNumberFormat="1" applyFont="1" applyFill="1" applyBorder="1" applyAlignment="1">
      <alignment horizontal="center" vertical="top" wrapText="1"/>
    </xf>
    <xf numFmtId="199" fontId="34" fillId="0" borderId="17" xfId="0" applyNumberFormat="1" applyFont="1" applyFill="1" applyBorder="1" applyAlignment="1">
      <alignment horizontal="center" vertical="top" wrapText="1"/>
    </xf>
    <xf numFmtId="200" fontId="35" fillId="0" borderId="17" xfId="0" applyNumberFormat="1" applyFont="1" applyFill="1" applyBorder="1" applyAlignment="1">
      <alignment horizontal="center" vertical="top" wrapText="1"/>
    </xf>
    <xf numFmtId="196" fontId="35" fillId="0" borderId="17" xfId="0" applyNumberFormat="1" applyFont="1" applyFill="1" applyBorder="1" applyAlignment="1">
      <alignment horizontal="center" vertical="top" wrapText="1"/>
    </xf>
    <xf numFmtId="0" fontId="35" fillId="0" borderId="0" xfId="0" applyFont="1" applyFill="1" applyBorder="1" applyAlignment="1">
      <alignment vertical="top" wrapText="1"/>
    </xf>
    <xf numFmtId="0" fontId="36" fillId="0" borderId="17" xfId="0" applyFont="1" applyFill="1" applyBorder="1" applyAlignment="1">
      <alignment vertical="top" wrapText="1"/>
    </xf>
    <xf numFmtId="1" fontId="35" fillId="0" borderId="17" xfId="0" applyNumberFormat="1" applyFont="1" applyFill="1" applyBorder="1" applyAlignment="1">
      <alignment horizontal="center" vertical="top" wrapText="1"/>
    </xf>
    <xf numFmtId="210" fontId="34" fillId="0" borderId="17" xfId="0" applyNumberFormat="1" applyFont="1" applyFill="1" applyBorder="1" applyAlignment="1">
      <alignment horizontal="center" vertical="top" wrapText="1"/>
    </xf>
    <xf numFmtId="201" fontId="34" fillId="0" borderId="17" xfId="0" applyNumberFormat="1" applyFont="1" applyFill="1" applyBorder="1" applyAlignment="1">
      <alignment horizontal="center" vertical="top" wrapText="1"/>
    </xf>
    <xf numFmtId="181" fontId="34" fillId="0" borderId="17" xfId="0" applyNumberFormat="1" applyFont="1" applyFill="1" applyBorder="1" applyAlignment="1">
      <alignment horizontal="center" vertical="top" wrapText="1"/>
    </xf>
    <xf numFmtId="202" fontId="34" fillId="0" borderId="17" xfId="0" applyNumberFormat="1" applyFont="1" applyFill="1" applyBorder="1" applyAlignment="1">
      <alignment horizontal="center" vertical="top" wrapText="1"/>
    </xf>
    <xf numFmtId="203" fontId="35" fillId="0" borderId="17" xfId="0" applyNumberFormat="1" applyFont="1" applyFill="1" applyBorder="1" applyAlignment="1">
      <alignment horizontal="center" vertical="top" wrapText="1"/>
    </xf>
    <xf numFmtId="208" fontId="35" fillId="0" borderId="17" xfId="0" applyNumberFormat="1" applyFont="1" applyFill="1" applyBorder="1" applyAlignment="1">
      <alignment horizontal="center" vertical="top" wrapText="1"/>
    </xf>
    <xf numFmtId="217" fontId="34" fillId="0" borderId="17" xfId="0" applyNumberFormat="1" applyFont="1" applyFill="1" applyBorder="1" applyAlignment="1">
      <alignment horizontal="center" vertical="top" wrapText="1"/>
    </xf>
    <xf numFmtId="0" fontId="32" fillId="0" borderId="0" xfId="0" applyFont="1" applyFill="1" applyBorder="1" applyAlignment="1">
      <alignment vertical="top"/>
    </xf>
    <xf numFmtId="220" fontId="35" fillId="0" borderId="17" xfId="0" applyNumberFormat="1" applyFont="1" applyFill="1" applyBorder="1" applyAlignment="1">
      <alignment horizontal="center" vertical="top" wrapText="1"/>
    </xf>
    <xf numFmtId="224" fontId="34" fillId="0" borderId="17" xfId="0" applyNumberFormat="1" applyFont="1" applyFill="1" applyBorder="1" applyAlignment="1">
      <alignment horizontal="center" vertical="top" wrapText="1"/>
    </xf>
    <xf numFmtId="218" fontId="35" fillId="0" borderId="17" xfId="0" applyNumberFormat="1" applyFont="1" applyFill="1" applyBorder="1" applyAlignment="1">
      <alignment horizontal="center" vertical="top" wrapText="1"/>
    </xf>
    <xf numFmtId="191" fontId="35" fillId="0" borderId="17" xfId="0" applyNumberFormat="1" applyFont="1" applyFill="1" applyBorder="1" applyAlignment="1">
      <alignment horizontal="center" vertical="top" wrapText="1"/>
    </xf>
    <xf numFmtId="226" fontId="35" fillId="0" borderId="17" xfId="0" applyNumberFormat="1" applyFont="1" applyFill="1" applyBorder="1" applyAlignment="1">
      <alignment horizontal="center" vertical="top" wrapText="1"/>
    </xf>
    <xf numFmtId="228" fontId="35" fillId="0" borderId="17" xfId="0" applyNumberFormat="1" applyFont="1" applyFill="1" applyBorder="1" applyAlignment="1">
      <alignment horizontal="center" vertical="top" wrapText="1"/>
    </xf>
    <xf numFmtId="230" fontId="35" fillId="0" borderId="17" xfId="0" applyNumberFormat="1" applyFont="1" applyFill="1" applyBorder="1" applyAlignment="1">
      <alignment horizontal="center" vertical="top" wrapText="1"/>
    </xf>
    <xf numFmtId="211" fontId="34" fillId="0" borderId="17" xfId="0" applyNumberFormat="1" applyFont="1" applyFill="1" applyBorder="1" applyAlignment="1">
      <alignment horizontal="center" vertical="top" wrapText="1"/>
    </xf>
    <xf numFmtId="0" fontId="61" fillId="34" borderId="0" xfId="0" applyFont="1" applyFill="1" applyAlignment="1">
      <alignment/>
    </xf>
    <xf numFmtId="0" fontId="54" fillId="0" borderId="0" xfId="0" applyFont="1" applyAlignment="1">
      <alignment/>
    </xf>
    <xf numFmtId="0" fontId="39" fillId="37" borderId="0" xfId="0" applyFont="1" applyFill="1" applyAlignment="1">
      <alignment/>
    </xf>
    <xf numFmtId="0" fontId="58" fillId="37" borderId="0" xfId="0" applyFont="1" applyFill="1" applyAlignment="1">
      <alignment/>
    </xf>
    <xf numFmtId="0" fontId="62" fillId="37" borderId="0" xfId="0" applyFont="1" applyFill="1" applyAlignment="1">
      <alignment/>
    </xf>
    <xf numFmtId="0" fontId="63" fillId="37" borderId="0" xfId="0" applyFont="1" applyFill="1" applyAlignment="1">
      <alignment/>
    </xf>
    <xf numFmtId="0" fontId="54" fillId="37" borderId="0" xfId="0" applyFont="1" applyFill="1" applyAlignment="1">
      <alignment/>
    </xf>
    <xf numFmtId="0" fontId="0" fillId="0" borderId="0" xfId="0" applyFont="1" applyAlignment="1">
      <alignment/>
    </xf>
    <xf numFmtId="0" fontId="0" fillId="47" borderId="0" xfId="0" applyFill="1" applyAlignment="1">
      <alignment/>
    </xf>
    <xf numFmtId="0" fontId="0" fillId="47" borderId="26" xfId="0" applyFill="1" applyBorder="1" applyAlignment="1">
      <alignment/>
    </xf>
    <xf numFmtId="0" fontId="0" fillId="47" borderId="10" xfId="0" applyFill="1" applyBorder="1" applyAlignment="1">
      <alignment/>
    </xf>
    <xf numFmtId="0" fontId="9" fillId="47" borderId="16" xfId="0" applyFont="1" applyFill="1" applyBorder="1" applyAlignment="1">
      <alignment/>
    </xf>
    <xf numFmtId="0" fontId="0" fillId="47" borderId="17" xfId="0" applyFill="1" applyBorder="1" applyAlignment="1">
      <alignment/>
    </xf>
    <xf numFmtId="0" fontId="9" fillId="47" borderId="18" xfId="0" applyFont="1" applyFill="1" applyBorder="1" applyAlignment="1">
      <alignment/>
    </xf>
    <xf numFmtId="0" fontId="0" fillId="47" borderId="18" xfId="0" applyFill="1" applyBorder="1" applyAlignment="1">
      <alignment/>
    </xf>
    <xf numFmtId="0" fontId="11" fillId="47" borderId="18" xfId="0" applyFont="1" applyFill="1" applyBorder="1" applyAlignment="1">
      <alignment/>
    </xf>
    <xf numFmtId="0" fontId="0" fillId="47" borderId="13" xfId="0" applyFill="1" applyBorder="1" applyAlignment="1">
      <alignment/>
    </xf>
    <xf numFmtId="0" fontId="0" fillId="47" borderId="20" xfId="0" applyFill="1" applyBorder="1" applyAlignment="1">
      <alignment/>
    </xf>
    <xf numFmtId="0" fontId="0" fillId="34" borderId="23" xfId="0" applyFont="1" applyFill="1" applyBorder="1" applyAlignment="1">
      <alignment horizontal="left"/>
    </xf>
    <xf numFmtId="0" fontId="0" fillId="0" borderId="0" xfId="0" applyFont="1" applyAlignment="1" applyProtection="1">
      <alignment/>
      <protection/>
    </xf>
    <xf numFmtId="0" fontId="65" fillId="37" borderId="0" xfId="48" applyFont="1" applyFill="1" applyAlignment="1" applyProtection="1">
      <alignment/>
      <protection/>
    </xf>
    <xf numFmtId="0" fontId="65" fillId="34" borderId="0" xfId="48" applyFont="1" applyFill="1" applyAlignment="1" applyProtection="1">
      <alignment/>
      <protection/>
    </xf>
    <xf numFmtId="0" fontId="5" fillId="33" borderId="26"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19" xfId="0" applyFont="1" applyFill="1" applyBorder="1" applyAlignment="1">
      <alignment horizontal="justify" vertical="top"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15" xfId="0" applyFont="1" applyFill="1" applyBorder="1" applyAlignment="1">
      <alignment horizontal="justify" vertical="top" wrapText="1"/>
    </xf>
    <xf numFmtId="0" fontId="5" fillId="33" borderId="20" xfId="0" applyFont="1" applyFill="1" applyBorder="1" applyAlignment="1">
      <alignment horizontal="center" vertical="top" wrapText="1"/>
    </xf>
    <xf numFmtId="0" fontId="0" fillId="48" borderId="0" xfId="0" applyFill="1" applyAlignment="1">
      <alignment/>
    </xf>
    <xf numFmtId="0" fontId="6" fillId="48" borderId="0" xfId="0" applyFont="1" applyFill="1" applyAlignment="1">
      <alignment/>
    </xf>
    <xf numFmtId="0" fontId="0" fillId="48" borderId="0" xfId="0" applyFill="1" applyAlignment="1" applyProtection="1">
      <alignment/>
      <protection/>
    </xf>
    <xf numFmtId="0" fontId="0" fillId="48" borderId="0" xfId="0" applyFill="1" applyBorder="1" applyAlignment="1" applyProtection="1">
      <alignment/>
      <protection/>
    </xf>
    <xf numFmtId="0" fontId="0" fillId="48" borderId="50" xfId="0" applyFont="1" applyFill="1" applyBorder="1" applyAlignment="1">
      <alignment horizontal="left"/>
    </xf>
    <xf numFmtId="2" fontId="0" fillId="33" borderId="52" xfId="0" applyNumberFormat="1" applyFill="1" applyBorder="1" applyAlignment="1" applyProtection="1">
      <alignment/>
      <protection locked="0"/>
    </xf>
    <xf numFmtId="2" fontId="0" fillId="33" borderId="74" xfId="0" applyNumberFormat="1" applyFill="1" applyBorder="1" applyAlignment="1" applyProtection="1">
      <alignment/>
      <protection locked="0"/>
    </xf>
    <xf numFmtId="0" fontId="135" fillId="34" borderId="24" xfId="0" applyFont="1" applyFill="1" applyBorder="1" applyAlignment="1">
      <alignment horizontal="right"/>
    </xf>
    <xf numFmtId="0" fontId="137" fillId="34" borderId="23" xfId="0" applyFont="1" applyFill="1" applyBorder="1" applyAlignment="1" applyProtection="1">
      <alignment horizontal="right"/>
      <protection/>
    </xf>
    <xf numFmtId="0" fontId="137" fillId="34" borderId="36" xfId="0" applyFont="1" applyFill="1" applyBorder="1" applyAlignment="1" applyProtection="1">
      <alignment horizontal="right"/>
      <protection/>
    </xf>
    <xf numFmtId="0" fontId="0" fillId="0" borderId="0" xfId="0" applyFill="1" applyBorder="1" applyAlignment="1">
      <alignment/>
    </xf>
    <xf numFmtId="0" fontId="4" fillId="34" borderId="0" xfId="0" applyFont="1" applyFill="1" applyAlignment="1">
      <alignment/>
    </xf>
    <xf numFmtId="0" fontId="35" fillId="49" borderId="17" xfId="0" applyFont="1" applyFill="1" applyBorder="1" applyAlignment="1">
      <alignment horizontal="center" vertical="top" wrapText="1"/>
    </xf>
    <xf numFmtId="0" fontId="36" fillId="49" borderId="17" xfId="0" applyFont="1" applyFill="1" applyBorder="1" applyAlignment="1">
      <alignment horizontal="center" vertical="top" wrapText="1"/>
    </xf>
    <xf numFmtId="0" fontId="37" fillId="49" borderId="17" xfId="0" applyFont="1" applyFill="1" applyBorder="1" applyAlignment="1">
      <alignment horizontal="center" vertical="top" wrapText="1"/>
    </xf>
    <xf numFmtId="0" fontId="34" fillId="49" borderId="17" xfId="0" applyFont="1" applyFill="1" applyBorder="1" applyAlignment="1">
      <alignment horizontal="center" vertical="top" wrapText="1"/>
    </xf>
    <xf numFmtId="0" fontId="35" fillId="49" borderId="19" xfId="0" applyFont="1" applyFill="1" applyBorder="1" applyAlignment="1">
      <alignment horizontal="center" vertical="top" wrapText="1"/>
    </xf>
    <xf numFmtId="232" fontId="35" fillId="49" borderId="19" xfId="0" applyNumberFormat="1" applyFont="1" applyFill="1" applyBorder="1" applyAlignment="1">
      <alignment horizontal="center" vertical="top" wrapText="1"/>
    </xf>
    <xf numFmtId="0" fontId="34" fillId="49" borderId="19" xfId="0" applyFont="1" applyFill="1" applyBorder="1" applyAlignment="1">
      <alignment horizontal="center" vertical="top" wrapText="1"/>
    </xf>
    <xf numFmtId="0" fontId="37" fillId="49" borderId="0" xfId="0" applyFont="1" applyFill="1" applyBorder="1" applyAlignment="1">
      <alignment horizontal="center" vertical="top" wrapText="1"/>
    </xf>
    <xf numFmtId="0" fontId="37" fillId="49" borderId="19" xfId="0" applyFont="1" applyFill="1" applyBorder="1" applyAlignment="1">
      <alignment horizontal="center" vertical="top" wrapText="1"/>
    </xf>
    <xf numFmtId="0" fontId="31" fillId="49" borderId="17" xfId="0" applyFont="1" applyFill="1" applyBorder="1" applyAlignment="1">
      <alignment horizontal="center" vertical="top"/>
    </xf>
    <xf numFmtId="0" fontId="31" fillId="49" borderId="19" xfId="0" applyFont="1" applyFill="1" applyBorder="1" applyAlignment="1">
      <alignment horizontal="center" vertical="top"/>
    </xf>
    <xf numFmtId="0" fontId="31" fillId="49" borderId="0" xfId="0" applyFont="1" applyFill="1" applyBorder="1" applyAlignment="1">
      <alignment vertical="top"/>
    </xf>
    <xf numFmtId="0" fontId="35" fillId="50" borderId="17" xfId="0" applyFont="1" applyFill="1" applyBorder="1" applyAlignment="1">
      <alignment horizontal="center" vertical="top" wrapText="1"/>
    </xf>
    <xf numFmtId="0" fontId="34" fillId="50" borderId="17" xfId="0" applyFont="1" applyFill="1" applyBorder="1" applyAlignment="1">
      <alignment horizontal="center" vertical="top" wrapText="1"/>
    </xf>
    <xf numFmtId="168" fontId="34" fillId="50" borderId="19" xfId="0" applyNumberFormat="1" applyFont="1" applyFill="1" applyBorder="1" applyAlignment="1">
      <alignment horizontal="center" vertical="top" wrapText="1"/>
    </xf>
    <xf numFmtId="0" fontId="34" fillId="50" borderId="19" xfId="0" applyFont="1" applyFill="1" applyBorder="1" applyAlignment="1">
      <alignment horizontal="center" vertical="top" wrapText="1"/>
    </xf>
    <xf numFmtId="0" fontId="31" fillId="50" borderId="0" xfId="0" applyFont="1" applyFill="1" applyBorder="1" applyAlignment="1">
      <alignment vertical="top"/>
    </xf>
    <xf numFmtId="172" fontId="34" fillId="51" borderId="17" xfId="0" applyNumberFormat="1" applyFont="1" applyFill="1" applyBorder="1" applyAlignment="1">
      <alignment horizontal="center" vertical="top" wrapText="1"/>
    </xf>
    <xf numFmtId="13" fontId="35" fillId="51" borderId="17" xfId="0" applyNumberFormat="1" applyFont="1" applyFill="1" applyBorder="1" applyAlignment="1">
      <alignment horizontal="center" vertical="top" wrapText="1"/>
    </xf>
    <xf numFmtId="168" fontId="34" fillId="51" borderId="19" xfId="0" applyNumberFormat="1" applyFont="1" applyFill="1" applyBorder="1" applyAlignment="1">
      <alignment horizontal="center" vertical="top" wrapText="1"/>
    </xf>
    <xf numFmtId="173" fontId="67" fillId="0" borderId="17" xfId="0" applyNumberFormat="1" applyFont="1" applyFill="1" applyBorder="1" applyAlignment="1">
      <alignment horizontal="center" vertical="top" wrapText="1"/>
    </xf>
    <xf numFmtId="232" fontId="67" fillId="0" borderId="17" xfId="0" applyNumberFormat="1" applyFont="1" applyFill="1" applyBorder="1" applyAlignment="1">
      <alignment horizontal="center" vertical="top" wrapText="1"/>
    </xf>
    <xf numFmtId="172" fontId="34" fillId="52" borderId="17" xfId="0" applyNumberFormat="1" applyFont="1" applyFill="1" applyBorder="1" applyAlignment="1">
      <alignment horizontal="center" vertical="top" wrapText="1"/>
    </xf>
    <xf numFmtId="13" fontId="35" fillId="52" borderId="17" xfId="0" applyNumberFormat="1" applyFont="1" applyFill="1" applyBorder="1" applyAlignment="1">
      <alignment horizontal="center" vertical="top" wrapText="1"/>
    </xf>
    <xf numFmtId="168" fontId="34" fillId="52" borderId="19" xfId="0" applyNumberFormat="1" applyFont="1" applyFill="1" applyBorder="1" applyAlignment="1">
      <alignment horizontal="center" vertical="top" wrapText="1"/>
    </xf>
    <xf numFmtId="172" fontId="35" fillId="51" borderId="17" xfId="0" applyNumberFormat="1" applyFont="1" applyFill="1" applyBorder="1" applyAlignment="1">
      <alignment horizontal="center" vertical="top" wrapText="1"/>
    </xf>
    <xf numFmtId="172" fontId="34" fillId="48" borderId="17" xfId="0" applyNumberFormat="1" applyFont="1" applyFill="1" applyBorder="1" applyAlignment="1">
      <alignment horizontal="center" vertical="top" wrapText="1"/>
    </xf>
    <xf numFmtId="13" fontId="35" fillId="48" borderId="17" xfId="0" applyNumberFormat="1" applyFont="1" applyFill="1" applyBorder="1" applyAlignment="1">
      <alignment horizontal="center" vertical="top" wrapText="1"/>
    </xf>
    <xf numFmtId="168" fontId="34" fillId="48" borderId="19" xfId="0" applyNumberFormat="1" applyFont="1" applyFill="1" applyBorder="1" applyAlignment="1">
      <alignment horizontal="center" vertical="top" wrapText="1"/>
    </xf>
    <xf numFmtId="166" fontId="34" fillId="51" borderId="17" xfId="0" applyNumberFormat="1" applyFont="1" applyFill="1" applyBorder="1" applyAlignment="1">
      <alignment horizontal="center" vertical="top" wrapText="1"/>
    </xf>
    <xf numFmtId="2" fontId="67" fillId="0" borderId="17" xfId="0" applyNumberFormat="1" applyFont="1" applyFill="1" applyBorder="1" applyAlignment="1">
      <alignment horizontal="center" vertical="top" wrapText="1"/>
    </xf>
    <xf numFmtId="176" fontId="35" fillId="51" borderId="17" xfId="0" applyNumberFormat="1" applyFont="1" applyFill="1" applyBorder="1" applyAlignment="1">
      <alignment horizontal="center" vertical="top" wrapText="1"/>
    </xf>
    <xf numFmtId="175" fontId="35" fillId="0" borderId="17" xfId="0" applyNumberFormat="1" applyFont="1" applyFill="1" applyBorder="1" applyAlignment="1">
      <alignment horizontal="center" vertical="top" wrapText="1"/>
    </xf>
    <xf numFmtId="177" fontId="34" fillId="51" borderId="17" xfId="0" applyNumberFormat="1" applyFont="1" applyFill="1" applyBorder="1" applyAlignment="1">
      <alignment horizontal="center" vertical="top" wrapText="1"/>
    </xf>
    <xf numFmtId="172" fontId="34" fillId="49" borderId="17" xfId="0" applyNumberFormat="1" applyFont="1" applyFill="1" applyBorder="1" applyAlignment="1">
      <alignment horizontal="center" vertical="top" wrapText="1"/>
    </xf>
    <xf numFmtId="13" fontId="35" fillId="49" borderId="17" xfId="0" applyNumberFormat="1" applyFont="1" applyFill="1" applyBorder="1" applyAlignment="1">
      <alignment horizontal="center" vertical="top" wrapText="1"/>
    </xf>
    <xf numFmtId="168" fontId="34" fillId="49" borderId="19" xfId="0" applyNumberFormat="1" applyFont="1" applyFill="1" applyBorder="1" applyAlignment="1">
      <alignment horizontal="center" vertical="top" wrapText="1"/>
    </xf>
    <xf numFmtId="3" fontId="34" fillId="51" borderId="19" xfId="0" applyNumberFormat="1" applyFont="1" applyFill="1" applyBorder="1" applyAlignment="1">
      <alignment horizontal="center" vertical="top" wrapText="1"/>
    </xf>
    <xf numFmtId="231" fontId="35" fillId="48" borderId="17" xfId="0" applyNumberFormat="1" applyFont="1" applyFill="1" applyBorder="1" applyAlignment="1">
      <alignment horizontal="center" vertical="top" wrapText="1"/>
    </xf>
    <xf numFmtId="231" fontId="35" fillId="51" borderId="17" xfId="0" applyNumberFormat="1" applyFont="1" applyFill="1" applyBorder="1" applyAlignment="1">
      <alignment horizontal="center" vertical="top" wrapText="1"/>
    </xf>
    <xf numFmtId="166" fontId="34" fillId="48" borderId="17" xfId="0" applyNumberFormat="1" applyFont="1" applyFill="1" applyBorder="1" applyAlignment="1">
      <alignment horizontal="center" vertical="top" wrapText="1"/>
    </xf>
    <xf numFmtId="208" fontId="34" fillId="51" borderId="17" xfId="0" applyNumberFormat="1" applyFont="1" applyFill="1" applyBorder="1" applyAlignment="1">
      <alignment horizontal="center" vertical="top" wrapText="1"/>
    </xf>
    <xf numFmtId="185" fontId="34" fillId="51" borderId="17" xfId="0" applyNumberFormat="1" applyFont="1" applyFill="1" applyBorder="1" applyAlignment="1">
      <alignment horizontal="center" vertical="top" wrapText="1"/>
    </xf>
    <xf numFmtId="188" fontId="34" fillId="51" borderId="17" xfId="0" applyNumberFormat="1" applyFont="1" applyFill="1" applyBorder="1" applyAlignment="1">
      <alignment horizontal="center" vertical="top" wrapText="1"/>
    </xf>
    <xf numFmtId="189" fontId="34" fillId="51" borderId="17" xfId="0" applyNumberFormat="1" applyFont="1" applyFill="1" applyBorder="1" applyAlignment="1">
      <alignment horizontal="center" vertical="top" wrapText="1"/>
    </xf>
    <xf numFmtId="3" fontId="34" fillId="49" borderId="19" xfId="0" applyNumberFormat="1" applyFont="1" applyFill="1" applyBorder="1" applyAlignment="1">
      <alignment horizontal="center" vertical="top" wrapText="1"/>
    </xf>
    <xf numFmtId="166" fontId="34" fillId="49" borderId="17" xfId="0" applyNumberFormat="1" applyFont="1" applyFill="1" applyBorder="1" applyAlignment="1">
      <alignment horizontal="center" vertical="top" wrapText="1"/>
    </xf>
    <xf numFmtId="167" fontId="34" fillId="51" borderId="17" xfId="0" applyNumberFormat="1" applyFont="1" applyFill="1" applyBorder="1" applyAlignment="1">
      <alignment horizontal="center" vertical="top" wrapText="1"/>
    </xf>
    <xf numFmtId="1" fontId="35" fillId="51" borderId="17" xfId="0" applyNumberFormat="1" applyFont="1" applyFill="1" applyBorder="1" applyAlignment="1">
      <alignment horizontal="center" vertical="top" wrapText="1"/>
    </xf>
    <xf numFmtId="211" fontId="34" fillId="51" borderId="17" xfId="0" applyNumberFormat="1" applyFont="1" applyFill="1" applyBorder="1" applyAlignment="1">
      <alignment horizontal="center" vertical="top" wrapText="1"/>
    </xf>
    <xf numFmtId="210" fontId="34" fillId="51" borderId="17" xfId="0" applyNumberFormat="1" applyFont="1" applyFill="1" applyBorder="1" applyAlignment="1">
      <alignment horizontal="center" vertical="top" wrapText="1"/>
    </xf>
    <xf numFmtId="203" fontId="35" fillId="51" borderId="17" xfId="0" applyNumberFormat="1" applyFont="1" applyFill="1" applyBorder="1" applyAlignment="1">
      <alignment horizontal="center" vertical="top" wrapText="1"/>
    </xf>
    <xf numFmtId="181" fontId="34" fillId="51" borderId="17" xfId="0" applyNumberFormat="1" applyFont="1" applyFill="1" applyBorder="1" applyAlignment="1">
      <alignment horizontal="center" vertical="top" wrapText="1"/>
    </xf>
    <xf numFmtId="202" fontId="34" fillId="51" borderId="17" xfId="0" applyNumberFormat="1" applyFont="1" applyFill="1" applyBorder="1" applyAlignment="1">
      <alignment horizontal="center" vertical="top" wrapText="1"/>
    </xf>
    <xf numFmtId="201" fontId="34" fillId="51" borderId="17" xfId="0" applyNumberFormat="1" applyFont="1" applyFill="1" applyBorder="1" applyAlignment="1">
      <alignment horizontal="center" vertical="top" wrapText="1"/>
    </xf>
    <xf numFmtId="217" fontId="34" fillId="51" borderId="17" xfId="0" applyNumberFormat="1" applyFont="1" applyFill="1" applyBorder="1" applyAlignment="1">
      <alignment horizontal="center" vertical="top" wrapText="1"/>
    </xf>
    <xf numFmtId="247" fontId="34" fillId="51" borderId="17" xfId="0" applyNumberFormat="1" applyFont="1" applyFill="1" applyBorder="1" applyAlignment="1">
      <alignment horizontal="center" vertical="top" wrapText="1"/>
    </xf>
    <xf numFmtId="248" fontId="34" fillId="51" borderId="17" xfId="0" applyNumberFormat="1" applyFont="1" applyFill="1" applyBorder="1" applyAlignment="1">
      <alignment horizontal="center" vertical="top" wrapText="1"/>
    </xf>
    <xf numFmtId="221" fontId="34" fillId="51" borderId="17" xfId="0" applyNumberFormat="1" applyFont="1" applyFill="1" applyBorder="1" applyAlignment="1">
      <alignment horizontal="center" vertical="top" wrapText="1"/>
    </xf>
    <xf numFmtId="222" fontId="35" fillId="0" borderId="17" xfId="0" applyNumberFormat="1" applyFont="1" applyFill="1" applyBorder="1" applyAlignment="1">
      <alignment horizontal="center" vertical="top" wrapText="1"/>
    </xf>
    <xf numFmtId="168" fontId="35" fillId="51" borderId="19" xfId="0" applyNumberFormat="1" applyFont="1" applyFill="1" applyBorder="1" applyAlignment="1">
      <alignment horizontal="center" vertical="top" wrapText="1"/>
    </xf>
    <xf numFmtId="172" fontId="36" fillId="0" borderId="17" xfId="0" applyNumberFormat="1" applyFont="1" applyFill="1" applyBorder="1" applyAlignment="1">
      <alignment horizontal="center" vertical="top" wrapText="1"/>
    </xf>
    <xf numFmtId="2" fontId="32" fillId="0" borderId="17" xfId="0" applyNumberFormat="1" applyFont="1" applyFill="1" applyBorder="1" applyAlignment="1">
      <alignment horizontal="center" vertical="top"/>
    </xf>
    <xf numFmtId="185" fontId="32" fillId="0" borderId="17" xfId="0" applyNumberFormat="1" applyFont="1" applyFill="1" applyBorder="1" applyAlignment="1">
      <alignment horizontal="center" vertical="top"/>
    </xf>
    <xf numFmtId="239" fontId="35" fillId="51" borderId="17" xfId="0" applyNumberFormat="1" applyFont="1" applyFill="1" applyBorder="1" applyAlignment="1">
      <alignment horizontal="center" vertical="top" wrapText="1"/>
    </xf>
    <xf numFmtId="0" fontId="38" fillId="37" borderId="0" xfId="0" applyFont="1" applyFill="1" applyAlignment="1">
      <alignment/>
    </xf>
    <xf numFmtId="0" fontId="9" fillId="0" borderId="0" xfId="0" applyFont="1" applyAlignment="1">
      <alignment/>
    </xf>
    <xf numFmtId="0" fontId="0" fillId="0" borderId="21" xfId="0" applyBorder="1" applyAlignment="1">
      <alignment/>
    </xf>
    <xf numFmtId="0" fontId="0" fillId="0" borderId="45" xfId="0" applyBorder="1" applyAlignment="1">
      <alignment/>
    </xf>
    <xf numFmtId="0" fontId="11" fillId="34" borderId="18" xfId="0" applyFont="1" applyFill="1" applyBorder="1" applyAlignment="1">
      <alignment/>
    </xf>
    <xf numFmtId="0" fontId="0" fillId="34" borderId="10" xfId="0" applyFill="1" applyBorder="1" applyAlignment="1">
      <alignment vertical="top"/>
    </xf>
    <xf numFmtId="0" fontId="9" fillId="34" borderId="16" xfId="0" applyFont="1" applyFill="1" applyBorder="1" applyAlignment="1">
      <alignment wrapText="1"/>
    </xf>
    <xf numFmtId="0" fontId="0" fillId="0" borderId="18" xfId="0" applyFont="1" applyFill="1" applyBorder="1" applyAlignment="1">
      <alignment/>
    </xf>
    <xf numFmtId="0" fontId="58" fillId="37" borderId="0" xfId="0" applyFont="1" applyFill="1" applyAlignment="1">
      <alignment/>
    </xf>
    <xf numFmtId="0" fontId="0" fillId="48" borderId="0" xfId="0" applyFill="1" applyBorder="1" applyAlignment="1">
      <alignment/>
    </xf>
    <xf numFmtId="0" fontId="5" fillId="48" borderId="0" xfId="0" applyFont="1" applyFill="1" applyBorder="1" applyAlignment="1">
      <alignment horizontal="justify" vertical="top" wrapText="1"/>
    </xf>
    <xf numFmtId="0" fontId="5" fillId="48" borderId="0" xfId="0" applyFont="1" applyFill="1" applyBorder="1" applyAlignment="1">
      <alignment horizontal="center" vertical="top" wrapText="1"/>
    </xf>
    <xf numFmtId="0" fontId="0" fillId="53" borderId="0" xfId="0" applyFill="1" applyAlignment="1">
      <alignment/>
    </xf>
    <xf numFmtId="0" fontId="0" fillId="53" borderId="0" xfId="0" applyFont="1" applyFill="1" applyAlignment="1">
      <alignment/>
    </xf>
    <xf numFmtId="0" fontId="4" fillId="53" borderId="0" xfId="0" applyFont="1" applyFill="1" applyAlignment="1">
      <alignment/>
    </xf>
    <xf numFmtId="0" fontId="138" fillId="54" borderId="0" xfId="0" applyFont="1" applyFill="1" applyBorder="1" applyAlignment="1" applyProtection="1">
      <alignment/>
      <protection/>
    </xf>
    <xf numFmtId="0" fontId="0" fillId="55" borderId="26" xfId="0" applyFill="1" applyBorder="1" applyAlignment="1" applyProtection="1">
      <alignment horizontal="center"/>
      <protection locked="0"/>
    </xf>
    <xf numFmtId="0" fontId="139" fillId="39" borderId="0" xfId="0" applyFont="1" applyFill="1" applyBorder="1" applyAlignment="1" applyProtection="1">
      <alignment/>
      <protection/>
    </xf>
    <xf numFmtId="2" fontId="139" fillId="42" borderId="75" xfId="0" applyNumberFormat="1" applyFont="1" applyFill="1" applyBorder="1" applyAlignment="1" applyProtection="1">
      <alignment/>
      <protection/>
    </xf>
    <xf numFmtId="0" fontId="140" fillId="42" borderId="0" xfId="0" applyFont="1" applyFill="1" applyBorder="1" applyAlignment="1" applyProtection="1">
      <alignment/>
      <protection/>
    </xf>
    <xf numFmtId="0" fontId="141" fillId="34" borderId="76" xfId="0" applyFont="1" applyFill="1" applyBorder="1" applyAlignment="1">
      <alignment/>
    </xf>
    <xf numFmtId="0" fontId="59" fillId="34" borderId="0" xfId="0" applyFont="1" applyFill="1" applyAlignment="1" applyProtection="1">
      <alignment/>
      <protection/>
    </xf>
    <xf numFmtId="0" fontId="7" fillId="48" borderId="0" xfId="48" applyFill="1" applyAlignment="1" applyProtection="1">
      <alignment/>
      <protection/>
    </xf>
    <xf numFmtId="0" fontId="0" fillId="56" borderId="0" xfId="0" applyFill="1" applyAlignment="1" applyProtection="1">
      <alignment/>
      <protection/>
    </xf>
    <xf numFmtId="0" fontId="0" fillId="56" borderId="0" xfId="0" applyFill="1" applyAlignment="1">
      <alignment/>
    </xf>
    <xf numFmtId="0" fontId="121" fillId="34" borderId="64" xfId="0" applyFont="1" applyFill="1" applyBorder="1" applyAlignment="1" applyProtection="1">
      <alignment/>
      <protection/>
    </xf>
    <xf numFmtId="0" fontId="0" fillId="57" borderId="0" xfId="0" applyFill="1" applyAlignment="1">
      <alignment/>
    </xf>
    <xf numFmtId="0" fontId="142" fillId="48" borderId="0" xfId="0" applyFont="1" applyFill="1" applyBorder="1" applyAlignment="1">
      <alignment/>
    </xf>
    <xf numFmtId="0" fontId="0" fillId="34" borderId="26" xfId="0" applyFont="1" applyFill="1" applyBorder="1" applyAlignment="1">
      <alignment/>
    </xf>
    <xf numFmtId="0" fontId="0" fillId="48" borderId="0" xfId="0" applyFont="1" applyFill="1" applyBorder="1" applyAlignment="1">
      <alignment horizontal="right"/>
    </xf>
    <xf numFmtId="242" fontId="70" fillId="58" borderId="26" xfId="47" applyNumberFormat="1" applyFont="1" applyFill="1" applyBorder="1" applyAlignment="1">
      <alignment/>
    </xf>
    <xf numFmtId="2" fontId="70" fillId="58" borderId="26" xfId="0" applyNumberFormat="1" applyFont="1" applyFill="1" applyBorder="1" applyAlignment="1">
      <alignment/>
    </xf>
    <xf numFmtId="2" fontId="0" fillId="34" borderId="0" xfId="0" applyNumberFormat="1" applyFill="1" applyBorder="1" applyAlignment="1">
      <alignment/>
    </xf>
    <xf numFmtId="1" fontId="0" fillId="38" borderId="10" xfId="0" applyNumberFormat="1" applyFill="1" applyBorder="1" applyAlignment="1">
      <alignment/>
    </xf>
    <xf numFmtId="1" fontId="0" fillId="38" borderId="17" xfId="0" applyNumberFormat="1" applyFill="1" applyBorder="1" applyAlignment="1">
      <alignment/>
    </xf>
    <xf numFmtId="1" fontId="0" fillId="38" borderId="13"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7" xfId="0" applyNumberFormat="1" applyFill="1" applyBorder="1" applyAlignment="1">
      <alignment/>
    </xf>
    <xf numFmtId="1" fontId="0" fillId="13" borderId="67" xfId="0" applyNumberFormat="1" applyFill="1" applyBorder="1" applyAlignment="1">
      <alignment/>
    </xf>
    <xf numFmtId="2" fontId="0" fillId="58" borderId="15" xfId="0" applyNumberFormat="1" applyFill="1" applyBorder="1" applyAlignment="1">
      <alignment/>
    </xf>
    <xf numFmtId="1" fontId="135" fillId="34" borderId="0" xfId="0" applyNumberFormat="1" applyFont="1" applyFill="1" applyAlignment="1">
      <alignment/>
    </xf>
    <xf numFmtId="251" fontId="0" fillId="48" borderId="0" xfId="0" applyNumberFormat="1" applyFill="1" applyAlignment="1">
      <alignment/>
    </xf>
    <xf numFmtId="2" fontId="0" fillId="48" borderId="0" xfId="0" applyNumberFormat="1" applyFill="1" applyBorder="1" applyAlignment="1">
      <alignment/>
    </xf>
    <xf numFmtId="0" fontId="0" fillId="34" borderId="0" xfId="0" applyFont="1" applyFill="1" applyAlignment="1">
      <alignment horizontal="right"/>
    </xf>
    <xf numFmtId="10" fontId="0" fillId="59" borderId="26" xfId="51" applyNumberFormat="1" applyFont="1" applyFill="1" applyBorder="1" applyAlignment="1">
      <alignment/>
    </xf>
    <xf numFmtId="10" fontId="0" fillId="48" borderId="0" xfId="51" applyNumberFormat="1" applyFont="1" applyFill="1" applyAlignment="1">
      <alignment/>
    </xf>
    <xf numFmtId="0" fontId="0" fillId="34" borderId="21" xfId="0" applyFont="1" applyFill="1" applyBorder="1" applyAlignment="1">
      <alignment/>
    </xf>
    <xf numFmtId="0" fontId="0" fillId="48" borderId="45" xfId="0" applyFill="1" applyBorder="1" applyAlignment="1">
      <alignment/>
    </xf>
    <xf numFmtId="0" fontId="0" fillId="34" borderId="77" xfId="0" applyFill="1" applyBorder="1" applyAlignment="1">
      <alignment/>
    </xf>
    <xf numFmtId="9" fontId="0" fillId="48" borderId="77" xfId="51" applyFont="1" applyFill="1" applyBorder="1" applyAlignment="1">
      <alignment horizontal="center"/>
    </xf>
    <xf numFmtId="0" fontId="0" fillId="34" borderId="78" xfId="0" applyFill="1" applyBorder="1" applyAlignment="1">
      <alignment/>
    </xf>
    <xf numFmtId="1" fontId="0" fillId="46" borderId="78" xfId="0" applyNumberFormat="1" applyFont="1" applyFill="1" applyBorder="1" applyAlignment="1">
      <alignment/>
    </xf>
    <xf numFmtId="9" fontId="0" fillId="48" borderId="78" xfId="51" applyFont="1" applyFill="1" applyBorder="1" applyAlignment="1">
      <alignment horizontal="center"/>
    </xf>
    <xf numFmtId="1" fontId="0" fillId="34" borderId="79" xfId="0" applyNumberFormat="1" applyFill="1" applyBorder="1" applyAlignment="1">
      <alignment/>
    </xf>
    <xf numFmtId="10" fontId="38" fillId="48" borderId="0" xfId="51" applyNumberFormat="1" applyFont="1" applyFill="1" applyAlignment="1">
      <alignment/>
    </xf>
    <xf numFmtId="0" fontId="38" fillId="0" borderId="0" xfId="0" applyFont="1" applyAlignment="1">
      <alignment/>
    </xf>
    <xf numFmtId="0" fontId="41" fillId="34" borderId="0" xfId="0" applyFont="1" applyFill="1" applyAlignment="1">
      <alignment/>
    </xf>
    <xf numFmtId="1" fontId="9" fillId="58" borderId="77" xfId="0" applyNumberFormat="1" applyFont="1" applyFill="1" applyBorder="1" applyAlignment="1">
      <alignment/>
    </xf>
    <xf numFmtId="0" fontId="38" fillId="34" borderId="0" xfId="0" applyFont="1" applyFill="1" applyAlignment="1">
      <alignment/>
    </xf>
    <xf numFmtId="0" fontId="143" fillId="48" borderId="0" xfId="0" applyFont="1" applyFill="1" applyAlignment="1" applyProtection="1">
      <alignment horizontal="left"/>
      <protection/>
    </xf>
    <xf numFmtId="0" fontId="143" fillId="48" borderId="0" xfId="0" applyFont="1" applyFill="1" applyAlignment="1" applyProtection="1">
      <alignment/>
      <protection/>
    </xf>
    <xf numFmtId="0" fontId="9" fillId="48" borderId="0" xfId="0" applyFont="1" applyFill="1" applyBorder="1" applyAlignment="1" applyProtection="1">
      <alignment/>
      <protection locked="0"/>
    </xf>
    <xf numFmtId="0" fontId="0" fillId="48" borderId="0" xfId="0" applyFont="1" applyFill="1" applyAlignment="1" applyProtection="1">
      <alignment/>
      <protection/>
    </xf>
    <xf numFmtId="0" fontId="143" fillId="48" borderId="22" xfId="0" applyFont="1" applyFill="1" applyBorder="1" applyAlignment="1" applyProtection="1">
      <alignment/>
      <protection/>
    </xf>
    <xf numFmtId="0" fontId="9" fillId="48" borderId="0" xfId="0" applyFont="1" applyFill="1" applyBorder="1" applyAlignment="1">
      <alignment/>
    </xf>
    <xf numFmtId="0" fontId="9" fillId="48" borderId="0" xfId="0" applyFont="1" applyFill="1" applyAlignment="1" applyProtection="1">
      <alignment/>
      <protection/>
    </xf>
    <xf numFmtId="0" fontId="7" fillId="48" borderId="0" xfId="48" applyFill="1" applyBorder="1" applyAlignment="1" applyProtection="1">
      <alignment/>
      <protection/>
    </xf>
    <xf numFmtId="0" fontId="0" fillId="48" borderId="0" xfId="0" applyFont="1" applyFill="1" applyBorder="1" applyAlignment="1">
      <alignment/>
    </xf>
    <xf numFmtId="0" fontId="0" fillId="48" borderId="0" xfId="0" applyFont="1" applyFill="1" applyAlignment="1">
      <alignment/>
    </xf>
    <xf numFmtId="0" fontId="9" fillId="48" borderId="0" xfId="0" applyFont="1" applyFill="1" applyBorder="1" applyAlignment="1">
      <alignment horizontal="right"/>
    </xf>
    <xf numFmtId="0" fontId="9" fillId="48" borderId="77" xfId="0" applyFont="1" applyFill="1" applyBorder="1" applyAlignment="1" applyProtection="1">
      <alignment/>
      <protection/>
    </xf>
    <xf numFmtId="0" fontId="0" fillId="48" borderId="0" xfId="0" applyFont="1" applyFill="1" applyAlignment="1">
      <alignment horizontal="right"/>
    </xf>
    <xf numFmtId="0" fontId="9" fillId="48" borderId="0" xfId="0" applyFont="1" applyFill="1" applyBorder="1" applyAlignment="1" applyProtection="1">
      <alignment/>
      <protection/>
    </xf>
    <xf numFmtId="0" fontId="0" fillId="33" borderId="0" xfId="0" applyFill="1" applyAlignment="1" applyProtection="1">
      <alignment/>
      <protection locked="0"/>
    </xf>
    <xf numFmtId="10" fontId="0" fillId="33" borderId="26" xfId="51" applyNumberFormat="1" applyFont="1" applyFill="1" applyBorder="1" applyAlignment="1" applyProtection="1">
      <alignment/>
      <protection locked="0"/>
    </xf>
    <xf numFmtId="0" fontId="73" fillId="41" borderId="21" xfId="0" applyFont="1" applyFill="1" applyBorder="1" applyAlignment="1" applyProtection="1">
      <alignment/>
      <protection/>
    </xf>
    <xf numFmtId="0" fontId="0" fillId="41" borderId="45" xfId="0" applyFont="1" applyFill="1" applyBorder="1" applyAlignment="1" applyProtection="1">
      <alignment/>
      <protection/>
    </xf>
    <xf numFmtId="0" fontId="0" fillId="60" borderId="44" xfId="0" applyFill="1" applyBorder="1" applyAlignment="1" applyProtection="1">
      <alignment/>
      <protection/>
    </xf>
    <xf numFmtId="2" fontId="0" fillId="60" borderId="44" xfId="0" applyNumberFormat="1" applyFill="1" applyBorder="1" applyAlignment="1" applyProtection="1">
      <alignment/>
      <protection/>
    </xf>
    <xf numFmtId="0" fontId="0" fillId="61" borderId="0" xfId="0" applyFont="1" applyFill="1" applyAlignment="1" applyProtection="1">
      <alignment/>
      <protection locked="0"/>
    </xf>
    <xf numFmtId="0" fontId="0" fillId="61" borderId="0" xfId="0" applyFill="1" applyAlignment="1" applyProtection="1">
      <alignment/>
      <protection locked="0"/>
    </xf>
    <xf numFmtId="0" fontId="0" fillId="61" borderId="26" xfId="0" applyFill="1" applyBorder="1" applyAlignment="1" applyProtection="1">
      <alignment/>
      <protection locked="0"/>
    </xf>
    <xf numFmtId="9" fontId="0" fillId="60" borderId="77" xfId="51" applyFont="1" applyFill="1" applyBorder="1" applyAlignment="1">
      <alignment/>
    </xf>
    <xf numFmtId="0" fontId="41" fillId="48" borderId="0" xfId="0" applyFont="1" applyFill="1" applyAlignment="1">
      <alignment/>
    </xf>
    <xf numFmtId="0" fontId="0" fillId="60" borderId="0" xfId="0" applyFill="1" applyAlignment="1">
      <alignment/>
    </xf>
    <xf numFmtId="0" fontId="68" fillId="62" borderId="0" xfId="0" applyFont="1" applyFill="1" applyBorder="1" applyAlignment="1">
      <alignment/>
    </xf>
    <xf numFmtId="0" fontId="58" fillId="62" borderId="0" xfId="0" applyFont="1" applyFill="1" applyBorder="1" applyAlignment="1">
      <alignment/>
    </xf>
    <xf numFmtId="0" fontId="144" fillId="34" borderId="0" xfId="0" applyFont="1" applyFill="1" applyBorder="1" applyAlignment="1" applyProtection="1">
      <alignment/>
      <protection/>
    </xf>
    <xf numFmtId="0" fontId="0" fillId="33" borderId="43" xfId="0" applyFont="1" applyFill="1" applyBorder="1" applyAlignment="1" applyProtection="1">
      <alignment/>
      <protection locked="0"/>
    </xf>
    <xf numFmtId="0" fontId="0" fillId="63" borderId="0" xfId="0" applyFill="1" applyAlignment="1">
      <alignment/>
    </xf>
    <xf numFmtId="1" fontId="0" fillId="58" borderId="0" xfId="0" applyNumberFormat="1" applyFill="1" applyBorder="1" applyAlignment="1">
      <alignment/>
    </xf>
    <xf numFmtId="2" fontId="0" fillId="0" borderId="0" xfId="0" applyNumberFormat="1" applyFill="1" applyBorder="1" applyAlignment="1">
      <alignment/>
    </xf>
    <xf numFmtId="0" fontId="74" fillId="34" borderId="0" xfId="0" applyFont="1" applyFill="1" applyAlignment="1" applyProtection="1">
      <alignment/>
      <protection/>
    </xf>
    <xf numFmtId="0" fontId="0" fillId="34" borderId="78" xfId="0" applyFill="1" applyBorder="1" applyAlignment="1">
      <alignment horizontal="right"/>
    </xf>
    <xf numFmtId="0" fontId="0" fillId="48" borderId="77" xfId="0" applyFont="1" applyFill="1" applyBorder="1" applyAlignment="1" applyProtection="1">
      <alignment/>
      <protection/>
    </xf>
    <xf numFmtId="0" fontId="0" fillId="48" borderId="78" xfId="0" applyFont="1" applyFill="1" applyBorder="1" applyAlignment="1" applyProtection="1">
      <alignment horizontal="right"/>
      <protection/>
    </xf>
    <xf numFmtId="1" fontId="0" fillId="61" borderId="23" xfId="0" applyNumberFormat="1" applyFont="1" applyFill="1" applyBorder="1" applyAlignment="1" applyProtection="1">
      <alignment/>
      <protection locked="0"/>
    </xf>
    <xf numFmtId="252" fontId="0" fillId="34" borderId="22" xfId="0" applyNumberFormat="1" applyFill="1" applyBorder="1" applyAlignment="1" applyProtection="1">
      <alignment/>
      <protection/>
    </xf>
    <xf numFmtId="2" fontId="145" fillId="34" borderId="22" xfId="0" applyNumberFormat="1" applyFont="1" applyFill="1" applyBorder="1" applyAlignment="1" applyProtection="1">
      <alignment/>
      <protection/>
    </xf>
    <xf numFmtId="0" fontId="0" fillId="60" borderId="43" xfId="0" applyFill="1" applyBorder="1" applyAlignment="1" applyProtection="1">
      <alignment/>
      <protection/>
    </xf>
    <xf numFmtId="0" fontId="37" fillId="48" borderId="17" xfId="0" applyFont="1" applyFill="1" applyBorder="1" applyAlignment="1">
      <alignment horizontal="center" vertical="top" wrapText="1"/>
    </xf>
    <xf numFmtId="0" fontId="34" fillId="64" borderId="0" xfId="0" applyFont="1" applyFill="1" applyBorder="1" applyAlignment="1">
      <alignment vertical="top" wrapText="1"/>
    </xf>
    <xf numFmtId="0" fontId="34" fillId="64" borderId="18" xfId="0" applyFont="1" applyFill="1" applyBorder="1" applyAlignment="1">
      <alignment vertical="top" wrapText="1"/>
    </xf>
    <xf numFmtId="0" fontId="37" fillId="64" borderId="18" xfId="0" applyFont="1" applyFill="1" applyBorder="1" applyAlignment="1">
      <alignment vertical="top" wrapText="1"/>
    </xf>
    <xf numFmtId="0" fontId="29" fillId="0" borderId="18" xfId="0" applyFont="1" applyFill="1" applyBorder="1" applyAlignment="1">
      <alignment/>
    </xf>
    <xf numFmtId="0" fontId="37" fillId="0" borderId="18" xfId="0" applyFont="1" applyFill="1" applyBorder="1" applyAlignment="1">
      <alignment vertical="top" wrapText="1"/>
    </xf>
    <xf numFmtId="0" fontId="35" fillId="0" borderId="18" xfId="0" applyFont="1" applyFill="1" applyBorder="1" applyAlignment="1">
      <alignment vertical="top" wrapText="1"/>
    </xf>
    <xf numFmtId="171" fontId="35" fillId="0" borderId="19" xfId="0" applyNumberFormat="1" applyFont="1" applyFill="1" applyBorder="1" applyAlignment="1">
      <alignment horizontal="center" vertical="top" wrapText="1"/>
    </xf>
    <xf numFmtId="2" fontId="36"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center" vertical="top" wrapText="1"/>
    </xf>
    <xf numFmtId="178" fontId="35" fillId="0" borderId="19" xfId="0" applyNumberFormat="1" applyFont="1" applyFill="1" applyBorder="1" applyAlignment="1">
      <alignment horizontal="center" vertical="top" wrapText="1"/>
    </xf>
    <xf numFmtId="207" fontId="35" fillId="0" borderId="19" xfId="0" applyNumberFormat="1" applyFont="1" applyFill="1" applyBorder="1" applyAlignment="1">
      <alignment horizontal="center" vertical="top" wrapText="1"/>
    </xf>
    <xf numFmtId="214" fontId="35" fillId="0" borderId="19" xfId="0" applyNumberFormat="1" applyFont="1" applyFill="1" applyBorder="1" applyAlignment="1">
      <alignment horizontal="center" vertical="top" wrapText="1"/>
    </xf>
    <xf numFmtId="187" fontId="35" fillId="0" borderId="19" xfId="0" applyNumberFormat="1" applyFont="1" applyFill="1" applyBorder="1" applyAlignment="1">
      <alignment horizontal="center" vertical="top" wrapText="1"/>
    </xf>
    <xf numFmtId="205" fontId="35" fillId="0" borderId="19" xfId="0" applyNumberFormat="1" applyFont="1" applyFill="1" applyBorder="1" applyAlignment="1">
      <alignment horizontal="center" vertical="top" wrapText="1"/>
    </xf>
    <xf numFmtId="198" fontId="35" fillId="0" borderId="19" xfId="0" applyNumberFormat="1" applyFont="1" applyFill="1" applyBorder="1" applyAlignment="1">
      <alignment horizontal="center" vertical="top" wrapText="1"/>
    </xf>
    <xf numFmtId="194" fontId="35" fillId="0" borderId="19" xfId="0" applyNumberFormat="1" applyFont="1" applyFill="1" applyBorder="1" applyAlignment="1">
      <alignment horizontal="center" vertical="top" wrapText="1"/>
    </xf>
    <xf numFmtId="212" fontId="35" fillId="0" borderId="19" xfId="0" applyNumberFormat="1" applyFont="1" applyFill="1" applyBorder="1" applyAlignment="1">
      <alignment horizontal="center" vertical="top" wrapText="1"/>
    </xf>
    <xf numFmtId="253" fontId="35" fillId="0" borderId="17" xfId="0" applyNumberFormat="1" applyFont="1" applyFill="1" applyBorder="1" applyAlignment="1">
      <alignment horizontal="center" vertical="top" wrapText="1"/>
    </xf>
    <xf numFmtId="256" fontId="35" fillId="0" borderId="19" xfId="0" applyNumberFormat="1" applyFont="1" applyFill="1" applyBorder="1" applyAlignment="1">
      <alignment horizontal="center" vertical="top" wrapText="1"/>
    </xf>
    <xf numFmtId="261" fontId="35" fillId="0" borderId="19" xfId="0" applyNumberFormat="1" applyFont="1" applyFill="1" applyBorder="1" applyAlignment="1">
      <alignment horizontal="center" vertical="top" wrapText="1"/>
    </xf>
    <xf numFmtId="216" fontId="35" fillId="0" borderId="19" xfId="0" applyNumberFormat="1" applyFont="1" applyFill="1" applyBorder="1" applyAlignment="1">
      <alignment horizontal="center" vertical="top" wrapText="1"/>
    </xf>
    <xf numFmtId="223" fontId="35" fillId="0" borderId="19" xfId="0" applyNumberFormat="1" applyFont="1" applyFill="1" applyBorder="1" applyAlignment="1">
      <alignment horizontal="center" vertical="top" wrapText="1"/>
    </xf>
    <xf numFmtId="170" fontId="35" fillId="0" borderId="19" xfId="0" applyNumberFormat="1" applyFont="1" applyFill="1" applyBorder="1" applyAlignment="1">
      <alignment horizontal="center" vertical="top" wrapText="1"/>
    </xf>
    <xf numFmtId="229" fontId="35" fillId="0" borderId="17" xfId="0" applyNumberFormat="1" applyFont="1" applyFill="1" applyBorder="1" applyAlignment="1">
      <alignment horizontal="center" vertical="top" wrapText="1"/>
    </xf>
    <xf numFmtId="190" fontId="35" fillId="0" borderId="19" xfId="0" applyNumberFormat="1" applyFont="1" applyFill="1" applyBorder="1" applyAlignment="1">
      <alignment horizontal="center" vertical="top" wrapText="1"/>
    </xf>
    <xf numFmtId="186" fontId="35" fillId="0" borderId="19" xfId="0" applyNumberFormat="1" applyFont="1" applyFill="1" applyBorder="1" applyAlignment="1">
      <alignment horizontal="center" vertical="top" wrapText="1"/>
    </xf>
    <xf numFmtId="204" fontId="35" fillId="0" borderId="19" xfId="0" applyNumberFormat="1" applyFont="1" applyFill="1" applyBorder="1" applyAlignment="1">
      <alignment horizontal="center" vertical="top" wrapText="1"/>
    </xf>
    <xf numFmtId="197" fontId="35" fillId="0" borderId="19" xfId="0" applyNumberFormat="1" applyFont="1" applyFill="1" applyBorder="1" applyAlignment="1">
      <alignment horizontal="center" vertical="top" wrapText="1"/>
    </xf>
    <xf numFmtId="183" fontId="35" fillId="0" borderId="19" xfId="0" applyNumberFormat="1" applyFont="1" applyFill="1" applyBorder="1" applyAlignment="1">
      <alignment horizontal="left" vertical="top" wrapText="1"/>
    </xf>
    <xf numFmtId="266" fontId="35" fillId="0" borderId="19" xfId="0" applyNumberFormat="1" applyFont="1" applyFill="1" applyBorder="1" applyAlignment="1">
      <alignment horizontal="center" vertical="top" wrapText="1"/>
    </xf>
    <xf numFmtId="2" fontId="35" fillId="0" borderId="0" xfId="0" applyNumberFormat="1" applyFont="1" applyFill="1" applyBorder="1" applyAlignment="1">
      <alignment horizontal="center" vertical="top" wrapText="1"/>
    </xf>
    <xf numFmtId="0" fontId="75" fillId="34" borderId="19" xfId="0" applyFont="1" applyFill="1" applyBorder="1" applyAlignment="1">
      <alignment horizontal="left" vertical="top" wrapText="1"/>
    </xf>
    <xf numFmtId="0" fontId="36" fillId="34" borderId="17" xfId="0" applyFont="1" applyFill="1" applyBorder="1" applyAlignment="1">
      <alignment horizontal="center" vertical="top" wrapText="1"/>
    </xf>
    <xf numFmtId="168" fontId="35" fillId="34" borderId="17" xfId="0" applyNumberFormat="1" applyFont="1" applyFill="1" applyBorder="1" applyAlignment="1">
      <alignment horizontal="center" vertical="top" wrapText="1"/>
    </xf>
    <xf numFmtId="0" fontId="37" fillId="34" borderId="17" xfId="0" applyFont="1" applyFill="1" applyBorder="1" applyAlignment="1">
      <alignment horizontal="left" vertical="top" wrapText="1"/>
    </xf>
    <xf numFmtId="0" fontId="34" fillId="34" borderId="0" xfId="0" applyFont="1" applyFill="1" applyBorder="1" applyAlignment="1">
      <alignment vertical="top" wrapText="1"/>
    </xf>
    <xf numFmtId="49" fontId="34" fillId="34" borderId="17" xfId="0" applyNumberFormat="1" applyFont="1" applyFill="1" applyBorder="1" applyAlignment="1">
      <alignment horizontal="center" vertical="top" wrapText="1"/>
    </xf>
    <xf numFmtId="0" fontId="58" fillId="48" borderId="0" xfId="0" applyFont="1" applyFill="1" applyAlignment="1">
      <alignment/>
    </xf>
    <xf numFmtId="2" fontId="0" fillId="65" borderId="22" xfId="0" applyNumberFormat="1" applyFill="1" applyBorder="1" applyAlignment="1" applyProtection="1">
      <alignment/>
      <protection locked="0"/>
    </xf>
    <xf numFmtId="0" fontId="0" fillId="48" borderId="17" xfId="0" applyFill="1" applyBorder="1" applyAlignment="1">
      <alignment/>
    </xf>
    <xf numFmtId="0" fontId="9" fillId="48" borderId="16" xfId="0" applyFont="1" applyFill="1" applyBorder="1" applyAlignment="1">
      <alignment/>
    </xf>
    <xf numFmtId="0" fontId="0" fillId="48" borderId="18" xfId="0" applyFont="1" applyFill="1" applyBorder="1" applyAlignment="1">
      <alignment/>
    </xf>
    <xf numFmtId="0" fontId="73" fillId="53" borderId="0" xfId="0" applyFont="1" applyFill="1" applyAlignment="1">
      <alignment/>
    </xf>
    <xf numFmtId="0" fontId="146" fillId="66" borderId="0" xfId="0" applyFont="1" applyFill="1" applyBorder="1" applyAlignment="1">
      <alignment vertical="top" wrapText="1"/>
    </xf>
    <xf numFmtId="0" fontId="147" fillId="0" borderId="0" xfId="0" applyFont="1" applyFill="1" applyBorder="1" applyAlignment="1">
      <alignment/>
    </xf>
    <xf numFmtId="0" fontId="146" fillId="67" borderId="0" xfId="0" applyFont="1" applyFill="1" applyBorder="1" applyAlignment="1">
      <alignment vertical="top" wrapText="1"/>
    </xf>
    <xf numFmtId="0" fontId="146" fillId="0" borderId="0" xfId="0" applyFont="1" applyFill="1" applyBorder="1" applyAlignment="1">
      <alignment vertical="top" wrapText="1"/>
    </xf>
    <xf numFmtId="0" fontId="146" fillId="68" borderId="0" xfId="0" applyFont="1" applyFill="1" applyBorder="1" applyAlignment="1">
      <alignment vertical="top" wrapText="1"/>
    </xf>
    <xf numFmtId="0" fontId="146" fillId="69" borderId="0" xfId="0" applyFont="1" applyFill="1" applyBorder="1" applyAlignment="1">
      <alignment vertical="top" wrapText="1"/>
    </xf>
    <xf numFmtId="0" fontId="35" fillId="67" borderId="0" xfId="0" applyFont="1" applyFill="1" applyBorder="1" applyAlignment="1">
      <alignment vertical="top" wrapText="1"/>
    </xf>
    <xf numFmtId="0" fontId="35" fillId="66" borderId="0" xfId="0" applyFont="1" applyFill="1" applyBorder="1" applyAlignment="1">
      <alignment vertical="top" wrapText="1"/>
    </xf>
    <xf numFmtId="0" fontId="35" fillId="66" borderId="17" xfId="0" applyFont="1" applyFill="1" applyBorder="1" applyAlignment="1">
      <alignment horizontal="center" vertical="top" wrapText="1"/>
    </xf>
    <xf numFmtId="0" fontId="147" fillId="0" borderId="17" xfId="0" applyFont="1" applyFill="1" applyBorder="1" applyAlignment="1">
      <alignment/>
    </xf>
    <xf numFmtId="0" fontId="147" fillId="0" borderId="19" xfId="0" applyFont="1" applyFill="1" applyBorder="1" applyAlignment="1">
      <alignment/>
    </xf>
    <xf numFmtId="0" fontId="35" fillId="67" borderId="17" xfId="0" applyFont="1" applyFill="1" applyBorder="1" applyAlignment="1">
      <alignment horizontal="center" vertical="top" wrapText="1"/>
    </xf>
    <xf numFmtId="0" fontId="35" fillId="68" borderId="17" xfId="0" applyFont="1" applyFill="1" applyBorder="1" applyAlignment="1">
      <alignment horizontal="center" vertical="top" wrapText="1"/>
    </xf>
    <xf numFmtId="0" fontId="35" fillId="66" borderId="0" xfId="0" applyFont="1" applyFill="1" applyBorder="1" applyAlignment="1">
      <alignment horizontal="center" vertical="top" wrapText="1"/>
    </xf>
    <xf numFmtId="2" fontId="35" fillId="67" borderId="0" xfId="0" applyNumberFormat="1" applyFont="1" applyFill="1" applyBorder="1" applyAlignment="1">
      <alignment horizontal="center" vertical="top" wrapText="1"/>
    </xf>
    <xf numFmtId="2" fontId="35" fillId="66" borderId="0" xfId="0" applyNumberFormat="1" applyFont="1" applyFill="1" applyBorder="1" applyAlignment="1">
      <alignment horizontal="center" vertical="top" wrapText="1"/>
    </xf>
    <xf numFmtId="2" fontId="35" fillId="68" borderId="0" xfId="0" applyNumberFormat="1" applyFont="1" applyFill="1" applyBorder="1" applyAlignment="1">
      <alignment horizontal="center" vertical="top" wrapText="1"/>
    </xf>
    <xf numFmtId="2" fontId="35" fillId="69" borderId="0" xfId="0" applyNumberFormat="1" applyFont="1" applyFill="1" applyBorder="1" applyAlignment="1">
      <alignment horizontal="center" vertical="top" wrapText="1"/>
    </xf>
    <xf numFmtId="0" fontId="148" fillId="66" borderId="19" xfId="0" applyFont="1" applyFill="1" applyBorder="1" applyAlignment="1">
      <alignment horizontal="center" vertical="top" wrapText="1"/>
    </xf>
    <xf numFmtId="0" fontId="149" fillId="66" borderId="17" xfId="0" applyFont="1" applyFill="1" applyBorder="1" applyAlignment="1">
      <alignment horizontal="center" vertical="top"/>
    </xf>
    <xf numFmtId="0" fontId="149" fillId="66" borderId="19" xfId="0" applyFont="1" applyFill="1" applyBorder="1" applyAlignment="1">
      <alignment horizontal="center" vertical="top"/>
    </xf>
    <xf numFmtId="0" fontId="149" fillId="66" borderId="0" xfId="0" applyFont="1" applyFill="1" applyBorder="1" applyAlignment="1">
      <alignment vertical="top"/>
    </xf>
    <xf numFmtId="172" fontId="148" fillId="0" borderId="19" xfId="0" applyNumberFormat="1" applyFont="1" applyFill="1" applyBorder="1" applyAlignment="1">
      <alignment horizontal="center" vertical="top" wrapText="1"/>
    </xf>
    <xf numFmtId="2" fontId="149" fillId="70" borderId="17" xfId="0" applyNumberFormat="1" applyFont="1" applyFill="1" applyBorder="1" applyAlignment="1">
      <alignment horizontal="center" vertical="top"/>
    </xf>
    <xf numFmtId="0" fontId="149" fillId="70" borderId="19" xfId="0" applyFont="1" applyFill="1" applyBorder="1" applyAlignment="1">
      <alignment horizontal="center" vertical="top"/>
    </xf>
    <xf numFmtId="0" fontId="149" fillId="0" borderId="0" xfId="0" applyFont="1" applyFill="1" applyBorder="1" applyAlignment="1">
      <alignment vertical="top"/>
    </xf>
    <xf numFmtId="172" fontId="148" fillId="67" borderId="19" xfId="0" applyNumberFormat="1" applyFont="1" applyFill="1" applyBorder="1" applyAlignment="1">
      <alignment horizontal="center" vertical="top" wrapText="1"/>
    </xf>
    <xf numFmtId="2" fontId="149" fillId="67" borderId="17" xfId="0" applyNumberFormat="1" applyFont="1" applyFill="1" applyBorder="1" applyAlignment="1">
      <alignment horizontal="center" vertical="top"/>
    </xf>
    <xf numFmtId="0" fontId="149" fillId="67" borderId="19" xfId="0" applyFont="1" applyFill="1" applyBorder="1" applyAlignment="1">
      <alignment horizontal="center" vertical="top"/>
    </xf>
    <xf numFmtId="0" fontId="149" fillId="67" borderId="0" xfId="0" applyFont="1" applyFill="1" applyBorder="1" applyAlignment="1">
      <alignment vertical="top"/>
    </xf>
    <xf numFmtId="2" fontId="149" fillId="0" borderId="17" xfId="0" applyNumberFormat="1" applyFont="1" applyFill="1" applyBorder="1" applyAlignment="1">
      <alignment horizontal="center" vertical="top"/>
    </xf>
    <xf numFmtId="0" fontId="149" fillId="0" borderId="19" xfId="0" applyFont="1" applyFill="1" applyBorder="1" applyAlignment="1">
      <alignment horizontal="center" vertical="top"/>
    </xf>
    <xf numFmtId="172" fontId="148" fillId="66" borderId="19" xfId="0" applyNumberFormat="1" applyFont="1" applyFill="1" applyBorder="1" applyAlignment="1">
      <alignment horizontal="center" vertical="top" wrapText="1"/>
    </xf>
    <xf numFmtId="2" fontId="149" fillId="0" borderId="19" xfId="0" applyNumberFormat="1" applyFont="1" applyFill="1" applyBorder="1" applyAlignment="1">
      <alignment horizontal="center" vertical="top"/>
    </xf>
    <xf numFmtId="0" fontId="149" fillId="0" borderId="19" xfId="0" applyFont="1" applyFill="1" applyBorder="1" applyAlignment="1">
      <alignment vertical="top"/>
    </xf>
    <xf numFmtId="179" fontId="149" fillId="0" borderId="19" xfId="0" applyNumberFormat="1" applyFont="1" applyFill="1" applyBorder="1" applyAlignment="1">
      <alignment horizontal="center" vertical="top"/>
    </xf>
    <xf numFmtId="179" fontId="149" fillId="67" borderId="19" xfId="0" applyNumberFormat="1" applyFont="1" applyFill="1" applyBorder="1" applyAlignment="1">
      <alignment horizontal="center" vertical="top"/>
    </xf>
    <xf numFmtId="166" fontId="149" fillId="67" borderId="17" xfId="0" applyNumberFormat="1" applyFont="1" applyFill="1" applyBorder="1" applyAlignment="1">
      <alignment horizontal="center" vertical="top"/>
    </xf>
    <xf numFmtId="0" fontId="149" fillId="0" borderId="0" xfId="0" applyFont="1" applyFill="1" applyBorder="1" applyAlignment="1">
      <alignment horizontal="center" vertical="top"/>
    </xf>
    <xf numFmtId="2" fontId="149" fillId="67" borderId="17" xfId="0" applyNumberFormat="1" applyFont="1" applyFill="1" applyBorder="1" applyAlignment="1">
      <alignment horizontal="center" vertical="top" wrapText="1"/>
    </xf>
    <xf numFmtId="0" fontId="149" fillId="67" borderId="19" xfId="0" applyFont="1" applyFill="1" applyBorder="1" applyAlignment="1">
      <alignment horizontal="center" vertical="top" wrapText="1"/>
    </xf>
    <xf numFmtId="0" fontId="149" fillId="67" borderId="0" xfId="0" applyFont="1" applyFill="1" applyBorder="1" applyAlignment="1">
      <alignment vertical="top" wrapText="1"/>
    </xf>
    <xf numFmtId="2" fontId="149" fillId="0" borderId="17" xfId="0" applyNumberFormat="1" applyFont="1" applyFill="1" applyBorder="1" applyAlignment="1">
      <alignment horizontal="center" vertical="top" wrapText="1"/>
    </xf>
    <xf numFmtId="0" fontId="149" fillId="0" borderId="19" xfId="0" applyFont="1" applyFill="1" applyBorder="1" applyAlignment="1">
      <alignment horizontal="center" vertical="top" wrapText="1"/>
    </xf>
    <xf numFmtId="0" fontId="149" fillId="0" borderId="0" xfId="0" applyFont="1" applyFill="1" applyBorder="1" applyAlignment="1">
      <alignment vertical="top" wrapText="1"/>
    </xf>
    <xf numFmtId="166" fontId="148" fillId="67" borderId="19" xfId="0" applyNumberFormat="1" applyFont="1" applyFill="1" applyBorder="1" applyAlignment="1">
      <alignment horizontal="center" vertical="top" wrapText="1"/>
    </xf>
    <xf numFmtId="169" fontId="149" fillId="67" borderId="0" xfId="0" applyNumberFormat="1" applyFont="1" applyFill="1" applyBorder="1" applyAlignment="1">
      <alignment horizontal="center" vertical="top"/>
    </xf>
    <xf numFmtId="166" fontId="148" fillId="0" borderId="19" xfId="0" applyNumberFormat="1" applyFont="1" applyFill="1" applyBorder="1" applyAlignment="1">
      <alignment horizontal="center" vertical="top" wrapText="1"/>
    </xf>
    <xf numFmtId="169" fontId="149" fillId="0" borderId="0" xfId="0" applyNumberFormat="1" applyFont="1" applyFill="1" applyBorder="1" applyAlignment="1">
      <alignment horizontal="center" vertical="top"/>
    </xf>
    <xf numFmtId="0" fontId="149" fillId="0" borderId="17" xfId="0" applyFont="1" applyFill="1" applyBorder="1" applyAlignment="1">
      <alignment horizontal="center" vertical="top"/>
    </xf>
    <xf numFmtId="0" fontId="147" fillId="67" borderId="0" xfId="0" applyFont="1" applyFill="1" applyBorder="1" applyAlignment="1">
      <alignment/>
    </xf>
    <xf numFmtId="177" fontId="149" fillId="67" borderId="17" xfId="0" applyNumberFormat="1" applyFont="1" applyFill="1" applyBorder="1" applyAlignment="1">
      <alignment horizontal="center" vertical="top"/>
    </xf>
    <xf numFmtId="177" fontId="149" fillId="0" borderId="17" xfId="0" applyNumberFormat="1" applyFont="1" applyFill="1" applyBorder="1" applyAlignment="1">
      <alignment horizontal="center" vertical="top"/>
    </xf>
    <xf numFmtId="177" fontId="148" fillId="67" borderId="19" xfId="0" applyNumberFormat="1" applyFont="1" applyFill="1" applyBorder="1" applyAlignment="1">
      <alignment horizontal="center" vertical="top" wrapText="1"/>
    </xf>
    <xf numFmtId="177" fontId="148" fillId="0" borderId="19" xfId="0" applyNumberFormat="1" applyFont="1" applyFill="1" applyBorder="1" applyAlignment="1">
      <alignment horizontal="center" vertical="top" wrapText="1"/>
    </xf>
    <xf numFmtId="172" fontId="148" fillId="68" borderId="19" xfId="0" applyNumberFormat="1" applyFont="1" applyFill="1" applyBorder="1" applyAlignment="1">
      <alignment horizontal="center" vertical="top" wrapText="1"/>
    </xf>
    <xf numFmtId="2" fontId="149" fillId="68" borderId="17" xfId="0" applyNumberFormat="1" applyFont="1" applyFill="1" applyBorder="1" applyAlignment="1">
      <alignment horizontal="center" vertical="top"/>
    </xf>
    <xf numFmtId="0" fontId="149" fillId="68" borderId="19" xfId="0" applyFont="1" applyFill="1" applyBorder="1" applyAlignment="1">
      <alignment horizontal="center" vertical="top"/>
    </xf>
    <xf numFmtId="0" fontId="149" fillId="68" borderId="0" xfId="0" applyFont="1" applyFill="1" applyBorder="1" applyAlignment="1">
      <alignment vertical="top"/>
    </xf>
    <xf numFmtId="181" fontId="149" fillId="0" borderId="17" xfId="0" applyNumberFormat="1" applyFont="1" applyFill="1" applyBorder="1" applyAlignment="1">
      <alignment horizontal="center" vertical="top"/>
    </xf>
    <xf numFmtId="166" fontId="149" fillId="0" borderId="17" xfId="0" applyNumberFormat="1" applyFont="1" applyFill="1" applyBorder="1" applyAlignment="1">
      <alignment horizontal="center" vertical="top"/>
    </xf>
    <xf numFmtId="208" fontId="148" fillId="67" borderId="19" xfId="0" applyNumberFormat="1" applyFont="1" applyFill="1" applyBorder="1" applyAlignment="1">
      <alignment horizontal="center" vertical="top" wrapText="1"/>
    </xf>
    <xf numFmtId="208" fontId="148" fillId="0" borderId="19" xfId="0" applyNumberFormat="1" applyFont="1" applyFill="1" applyBorder="1" applyAlignment="1">
      <alignment horizontal="center" vertical="top" wrapText="1"/>
    </xf>
    <xf numFmtId="253" fontId="148" fillId="0" borderId="19" xfId="0" applyNumberFormat="1" applyFont="1" applyFill="1" applyBorder="1" applyAlignment="1">
      <alignment horizontal="center" vertical="top" wrapText="1"/>
    </xf>
    <xf numFmtId="0" fontId="149" fillId="0" borderId="17" xfId="0" applyFont="1" applyFill="1" applyBorder="1" applyAlignment="1">
      <alignment vertical="top"/>
    </xf>
    <xf numFmtId="185" fontId="149" fillId="0" borderId="17" xfId="0" applyNumberFormat="1" applyFont="1" applyFill="1" applyBorder="1" applyAlignment="1">
      <alignment horizontal="center" vertical="top"/>
    </xf>
    <xf numFmtId="208" fontId="149" fillId="67" borderId="17" xfId="0" applyNumberFormat="1" applyFont="1" applyFill="1" applyBorder="1" applyAlignment="1">
      <alignment horizontal="center" vertical="top"/>
    </xf>
    <xf numFmtId="208" fontId="149" fillId="0" borderId="17" xfId="0" applyNumberFormat="1" applyFont="1" applyFill="1" applyBorder="1" applyAlignment="1">
      <alignment horizontal="center" vertical="top"/>
    </xf>
    <xf numFmtId="185" fontId="149" fillId="67" borderId="17" xfId="0" applyNumberFormat="1" applyFont="1" applyFill="1" applyBorder="1" applyAlignment="1">
      <alignment horizontal="center" vertical="top"/>
    </xf>
    <xf numFmtId="254" fontId="148" fillId="0" borderId="19" xfId="0" applyNumberFormat="1" applyFont="1" applyFill="1" applyBorder="1" applyAlignment="1">
      <alignment horizontal="center" vertical="top" wrapText="1"/>
    </xf>
    <xf numFmtId="188" fontId="149" fillId="0" borderId="17" xfId="0" applyNumberFormat="1" applyFont="1" applyFill="1" applyBorder="1" applyAlignment="1">
      <alignment horizontal="center" vertical="top"/>
    </xf>
    <xf numFmtId="254" fontId="148" fillId="67" borderId="19" xfId="0" applyNumberFormat="1" applyFont="1" applyFill="1" applyBorder="1" applyAlignment="1">
      <alignment horizontal="center" vertical="top" wrapText="1"/>
    </xf>
    <xf numFmtId="188" fontId="149" fillId="67" borderId="17" xfId="0" applyNumberFormat="1" applyFont="1" applyFill="1" applyBorder="1" applyAlignment="1">
      <alignment horizontal="center" vertical="top"/>
    </xf>
    <xf numFmtId="166" fontId="148" fillId="66" borderId="19" xfId="0" applyNumberFormat="1" applyFont="1" applyFill="1" applyBorder="1" applyAlignment="1">
      <alignment horizontal="center" vertical="top" wrapText="1"/>
    </xf>
    <xf numFmtId="166" fontId="149" fillId="0" borderId="19" xfId="0" applyNumberFormat="1" applyFont="1" applyFill="1" applyBorder="1" applyAlignment="1">
      <alignment horizontal="center" vertical="top"/>
    </xf>
    <xf numFmtId="166" fontId="148" fillId="68" borderId="19" xfId="0" applyNumberFormat="1" applyFont="1" applyFill="1" applyBorder="1" applyAlignment="1">
      <alignment horizontal="center" vertical="top" wrapText="1"/>
    </xf>
    <xf numFmtId="166" fontId="149" fillId="68" borderId="17" xfId="0" applyNumberFormat="1" applyFont="1" applyFill="1" applyBorder="1" applyAlignment="1">
      <alignment horizontal="center" vertical="top"/>
    </xf>
    <xf numFmtId="0" fontId="149" fillId="69" borderId="0" xfId="0" applyFont="1" applyFill="1" applyBorder="1" applyAlignment="1">
      <alignment vertical="top"/>
    </xf>
    <xf numFmtId="253" fontId="148" fillId="67" borderId="19" xfId="0" applyNumberFormat="1" applyFont="1" applyFill="1" applyBorder="1" applyAlignment="1">
      <alignment horizontal="center" vertical="top" wrapText="1"/>
    </xf>
    <xf numFmtId="185" fontId="149" fillId="0" borderId="19" xfId="0" applyNumberFormat="1" applyFont="1" applyFill="1" applyBorder="1" applyAlignment="1">
      <alignment horizontal="center" vertical="top"/>
    </xf>
    <xf numFmtId="167" fontId="149" fillId="67" borderId="17" xfId="0" applyNumberFormat="1" applyFont="1" applyFill="1" applyBorder="1" applyAlignment="1">
      <alignment horizontal="center" vertical="top"/>
    </xf>
    <xf numFmtId="167" fontId="149" fillId="0" borderId="17" xfId="0" applyNumberFormat="1" applyFont="1" applyFill="1" applyBorder="1" applyAlignment="1">
      <alignment horizontal="center" vertical="top"/>
    </xf>
    <xf numFmtId="167" fontId="148" fillId="67" borderId="19" xfId="0" applyNumberFormat="1" applyFont="1" applyFill="1" applyBorder="1" applyAlignment="1">
      <alignment horizontal="center" vertical="top" wrapText="1"/>
    </xf>
    <xf numFmtId="167" fontId="148" fillId="0" borderId="19" xfId="0" applyNumberFormat="1" applyFont="1" applyFill="1" applyBorder="1" applyAlignment="1">
      <alignment horizontal="center" vertical="top" wrapText="1"/>
    </xf>
    <xf numFmtId="199" fontId="149" fillId="0" borderId="17" xfId="0" applyNumberFormat="1" applyFont="1" applyFill="1" applyBorder="1" applyAlignment="1">
      <alignment horizontal="center" vertical="top"/>
    </xf>
    <xf numFmtId="0" fontId="149" fillId="67" borderId="17" xfId="0" applyFont="1" applyFill="1" applyBorder="1" applyAlignment="1">
      <alignment vertical="top"/>
    </xf>
    <xf numFmtId="219" fontId="149" fillId="67" borderId="17" xfId="0" applyNumberFormat="1" applyFont="1" applyFill="1" applyBorder="1" applyAlignment="1">
      <alignment horizontal="center" vertical="top"/>
    </xf>
    <xf numFmtId="192" fontId="149" fillId="67" borderId="17" xfId="0" applyNumberFormat="1" applyFont="1" applyFill="1" applyBorder="1" applyAlignment="1">
      <alignment horizontal="center" vertical="top"/>
    </xf>
    <xf numFmtId="185" fontId="149" fillId="0" borderId="0" xfId="0" applyNumberFormat="1" applyFont="1" applyFill="1" applyBorder="1" applyAlignment="1">
      <alignment horizontal="center" vertical="top"/>
    </xf>
    <xf numFmtId="0" fontId="149" fillId="68" borderId="17" xfId="0" applyFont="1" applyFill="1" applyBorder="1" applyAlignment="1">
      <alignment horizontal="center" vertical="top"/>
    </xf>
    <xf numFmtId="1" fontId="149" fillId="67" borderId="17" xfId="0" applyNumberFormat="1" applyFont="1" applyFill="1" applyBorder="1" applyAlignment="1">
      <alignment horizontal="center" vertical="top"/>
    </xf>
    <xf numFmtId="1" fontId="149" fillId="0" borderId="17" xfId="0" applyNumberFormat="1" applyFont="1" applyFill="1" applyBorder="1" applyAlignment="1">
      <alignment horizontal="center" vertical="top"/>
    </xf>
    <xf numFmtId="1" fontId="149" fillId="67" borderId="0" xfId="0" applyNumberFormat="1" applyFont="1" applyFill="1" applyBorder="1" applyAlignment="1">
      <alignment vertical="top"/>
    </xf>
    <xf numFmtId="1" fontId="149" fillId="0" borderId="0" xfId="0" applyNumberFormat="1" applyFont="1" applyFill="1" applyBorder="1" applyAlignment="1">
      <alignment vertical="top"/>
    </xf>
    <xf numFmtId="0" fontId="149" fillId="0" borderId="23" xfId="0" applyFont="1" applyFill="1" applyBorder="1" applyAlignment="1">
      <alignment vertical="top"/>
    </xf>
    <xf numFmtId="166" fontId="149" fillId="0" borderId="0" xfId="0" applyNumberFormat="1" applyFont="1" applyFill="1" applyBorder="1" applyAlignment="1">
      <alignment horizontal="center" vertical="top"/>
    </xf>
    <xf numFmtId="255" fontId="148" fillId="0" borderId="19" xfId="0" applyNumberFormat="1" applyFont="1" applyFill="1" applyBorder="1" applyAlignment="1">
      <alignment horizontal="center" vertical="top" wrapText="1"/>
    </xf>
    <xf numFmtId="201" fontId="149" fillId="0" borderId="17" xfId="0" applyNumberFormat="1" applyFont="1" applyFill="1" applyBorder="1" applyAlignment="1">
      <alignment horizontal="center" vertical="top"/>
    </xf>
    <xf numFmtId="257" fontId="148" fillId="67" borderId="19" xfId="0" applyNumberFormat="1" applyFont="1" applyFill="1" applyBorder="1" applyAlignment="1">
      <alignment horizontal="center" vertical="top" wrapText="1"/>
    </xf>
    <xf numFmtId="181" fontId="149" fillId="67" borderId="17" xfId="0" applyNumberFormat="1" applyFont="1" applyFill="1" applyBorder="1" applyAlignment="1">
      <alignment horizontal="center" vertical="top"/>
    </xf>
    <xf numFmtId="257" fontId="148" fillId="0" borderId="19" xfId="0" applyNumberFormat="1" applyFont="1" applyFill="1" applyBorder="1" applyAlignment="1">
      <alignment horizontal="center" vertical="top" wrapText="1"/>
    </xf>
    <xf numFmtId="202" fontId="149" fillId="0" borderId="17" xfId="0" applyNumberFormat="1" applyFont="1" applyFill="1" applyBorder="1" applyAlignment="1">
      <alignment horizontal="center" vertical="top"/>
    </xf>
    <xf numFmtId="202" fontId="149" fillId="67" borderId="17" xfId="0" applyNumberFormat="1" applyFont="1" applyFill="1" applyBorder="1" applyAlignment="1">
      <alignment horizontal="center" vertical="top"/>
    </xf>
    <xf numFmtId="185" fontId="149" fillId="68" borderId="17" xfId="0" applyNumberFormat="1" applyFont="1" applyFill="1" applyBorder="1" applyAlignment="1">
      <alignment horizontal="center" vertical="top"/>
    </xf>
    <xf numFmtId="2" fontId="149" fillId="71" borderId="17" xfId="0" applyNumberFormat="1" applyFont="1" applyFill="1" applyBorder="1" applyAlignment="1">
      <alignment horizontal="center" vertical="top"/>
    </xf>
    <xf numFmtId="185" fontId="149" fillId="70" borderId="17" xfId="0" applyNumberFormat="1" applyFont="1" applyFill="1" applyBorder="1" applyAlignment="1">
      <alignment horizontal="center" vertical="top"/>
    </xf>
    <xf numFmtId="167" fontId="149" fillId="0" borderId="0" xfId="0" applyNumberFormat="1" applyFont="1" applyFill="1" applyBorder="1" applyAlignment="1">
      <alignment horizontal="center" vertical="top"/>
    </xf>
    <xf numFmtId="258" fontId="148" fillId="67" borderId="19" xfId="0" applyNumberFormat="1" applyFont="1" applyFill="1" applyBorder="1" applyAlignment="1">
      <alignment horizontal="center" vertical="top" wrapText="1"/>
    </xf>
    <xf numFmtId="189" fontId="149" fillId="67" borderId="17" xfId="0" applyNumberFormat="1" applyFont="1" applyFill="1" applyBorder="1" applyAlignment="1">
      <alignment horizontal="center" vertical="top"/>
    </xf>
    <xf numFmtId="260" fontId="148" fillId="67" borderId="19" xfId="0" applyNumberFormat="1" applyFont="1" applyFill="1" applyBorder="1" applyAlignment="1">
      <alignment horizontal="center" vertical="top" wrapText="1"/>
    </xf>
    <xf numFmtId="217" fontId="149" fillId="67" borderId="17" xfId="0" applyNumberFormat="1" applyFont="1" applyFill="1" applyBorder="1" applyAlignment="1">
      <alignment horizontal="center" vertical="top"/>
    </xf>
    <xf numFmtId="260" fontId="148" fillId="0" borderId="19" xfId="0" applyNumberFormat="1" applyFont="1" applyFill="1" applyBorder="1" applyAlignment="1">
      <alignment horizontal="center" vertical="top" wrapText="1"/>
    </xf>
    <xf numFmtId="217" fontId="149" fillId="0" borderId="17" xfId="0" applyNumberFormat="1" applyFont="1" applyFill="1" applyBorder="1" applyAlignment="1">
      <alignment horizontal="center" vertical="top"/>
    </xf>
    <xf numFmtId="2" fontId="32" fillId="67" borderId="17" xfId="0" applyNumberFormat="1" applyFont="1" applyFill="1" applyBorder="1" applyAlignment="1">
      <alignment horizontal="center" vertical="top"/>
    </xf>
    <xf numFmtId="179" fontId="150" fillId="67" borderId="19" xfId="0" applyNumberFormat="1" applyFont="1" applyFill="1" applyBorder="1" applyAlignment="1">
      <alignment horizontal="center" vertical="top"/>
    </xf>
    <xf numFmtId="0" fontId="150" fillId="67" borderId="0" xfId="0" applyFont="1" applyFill="1" applyBorder="1" applyAlignment="1">
      <alignment vertical="top"/>
    </xf>
    <xf numFmtId="247" fontId="149" fillId="67" borderId="17" xfId="0" applyNumberFormat="1" applyFont="1" applyFill="1" applyBorder="1" applyAlignment="1">
      <alignment horizontal="center" vertical="top"/>
    </xf>
    <xf numFmtId="263" fontId="148" fillId="67" borderId="19" xfId="0" applyNumberFormat="1" applyFont="1" applyFill="1" applyBorder="1" applyAlignment="1">
      <alignment horizontal="center" vertical="top" wrapText="1"/>
    </xf>
    <xf numFmtId="221" fontId="149" fillId="67" borderId="17" xfId="0" applyNumberFormat="1" applyFont="1" applyFill="1" applyBorder="1" applyAlignment="1">
      <alignment horizontal="center" vertical="top"/>
    </xf>
    <xf numFmtId="221" fontId="149" fillId="0" borderId="17" xfId="0" applyNumberFormat="1" applyFont="1" applyFill="1" applyBorder="1" applyAlignment="1">
      <alignment horizontal="center" vertical="top"/>
    </xf>
    <xf numFmtId="224" fontId="149" fillId="0" borderId="17" xfId="0" applyNumberFormat="1" applyFont="1" applyFill="1" applyBorder="1" applyAlignment="1">
      <alignment horizontal="center" vertical="top"/>
    </xf>
    <xf numFmtId="185" fontId="32" fillId="67" borderId="17" xfId="0" applyNumberFormat="1" applyFont="1" applyFill="1" applyBorder="1" applyAlignment="1">
      <alignment horizontal="center" vertical="top"/>
    </xf>
    <xf numFmtId="0" fontId="32" fillId="67" borderId="0" xfId="0" applyFont="1" applyFill="1" applyBorder="1" applyAlignment="1">
      <alignment vertical="top"/>
    </xf>
    <xf numFmtId="219" fontId="149" fillId="0" borderId="17" xfId="0" applyNumberFormat="1" applyFont="1" applyFill="1" applyBorder="1" applyAlignment="1">
      <alignment horizontal="center" vertical="top"/>
    </xf>
    <xf numFmtId="262" fontId="148" fillId="67" borderId="19" xfId="0" applyNumberFormat="1" applyFont="1" applyFill="1" applyBorder="1" applyAlignment="1">
      <alignment horizontal="center" vertical="top" wrapText="1"/>
    </xf>
    <xf numFmtId="192" fontId="149" fillId="0" borderId="17" xfId="0" applyNumberFormat="1" applyFont="1" applyFill="1" applyBorder="1" applyAlignment="1">
      <alignment horizontal="center" vertical="top"/>
    </xf>
    <xf numFmtId="179" fontId="149" fillId="0" borderId="17" xfId="0" applyNumberFormat="1" applyFont="1" applyFill="1" applyBorder="1" applyAlignment="1">
      <alignment horizontal="center" vertical="top"/>
    </xf>
    <xf numFmtId="245" fontId="149" fillId="0" borderId="19" xfId="0" applyNumberFormat="1" applyFont="1" applyFill="1" applyBorder="1" applyAlignment="1">
      <alignment horizontal="center" vertical="top"/>
    </xf>
    <xf numFmtId="166" fontId="149" fillId="71" borderId="17" xfId="0" applyNumberFormat="1" applyFont="1" applyFill="1" applyBorder="1" applyAlignment="1">
      <alignment horizontal="center" vertical="top"/>
    </xf>
    <xf numFmtId="245" fontId="149" fillId="0" borderId="17" xfId="0" applyNumberFormat="1" applyFont="1" applyFill="1" applyBorder="1" applyAlignment="1">
      <alignment horizontal="center" vertical="top"/>
    </xf>
    <xf numFmtId="227" fontId="149" fillId="67" borderId="17" xfId="0" applyNumberFormat="1" applyFont="1" applyFill="1" applyBorder="1" applyAlignment="1">
      <alignment horizontal="center" vertical="top"/>
    </xf>
    <xf numFmtId="227" fontId="149" fillId="0" borderId="17" xfId="0" applyNumberFormat="1" applyFont="1" applyFill="1" applyBorder="1" applyAlignment="1">
      <alignment horizontal="center" vertical="top"/>
    </xf>
    <xf numFmtId="246" fontId="149" fillId="67" borderId="17" xfId="0" applyNumberFormat="1" applyFont="1" applyFill="1" applyBorder="1" applyAlignment="1">
      <alignment horizontal="center" vertical="top"/>
    </xf>
    <xf numFmtId="246" fontId="149" fillId="0" borderId="17" xfId="0" applyNumberFormat="1" applyFont="1" applyFill="1" applyBorder="1" applyAlignment="1">
      <alignment horizontal="center" vertical="top"/>
    </xf>
    <xf numFmtId="224" fontId="149" fillId="67" borderId="17" xfId="0" applyNumberFormat="1" applyFont="1" applyFill="1" applyBorder="1" applyAlignment="1">
      <alignment horizontal="center" vertical="top"/>
    </xf>
    <xf numFmtId="250" fontId="149" fillId="67" borderId="0" xfId="0" applyNumberFormat="1" applyFont="1" applyFill="1" applyBorder="1" applyAlignment="1">
      <alignment horizontal="center" vertical="top"/>
    </xf>
    <xf numFmtId="0" fontId="7" fillId="53" borderId="0" xfId="48" applyFill="1" applyAlignment="1" applyProtection="1">
      <alignment/>
      <protection/>
    </xf>
    <xf numFmtId="1" fontId="146" fillId="66" borderId="0" xfId="0" applyNumberFormat="1" applyFont="1" applyFill="1" applyBorder="1" applyAlignment="1">
      <alignment horizontal="center" vertical="top"/>
    </xf>
    <xf numFmtId="1" fontId="146" fillId="0" borderId="0" xfId="0" applyNumberFormat="1" applyFont="1" applyFill="1" applyBorder="1" applyAlignment="1">
      <alignment horizontal="center" vertical="top"/>
    </xf>
    <xf numFmtId="1" fontId="146" fillId="67" borderId="0" xfId="0" applyNumberFormat="1" applyFont="1" applyFill="1" applyBorder="1" applyAlignment="1">
      <alignment horizontal="center" vertical="top"/>
    </xf>
    <xf numFmtId="1" fontId="146" fillId="0" borderId="19" xfId="0" applyNumberFormat="1" applyFont="1" applyFill="1" applyBorder="1" applyAlignment="1">
      <alignment horizontal="center" vertical="top"/>
    </xf>
    <xf numFmtId="1" fontId="146" fillId="68" borderId="0" xfId="0" applyNumberFormat="1" applyFont="1" applyFill="1" applyBorder="1" applyAlignment="1">
      <alignment horizontal="center" vertical="top"/>
    </xf>
    <xf numFmtId="0" fontId="59" fillId="0" borderId="0" xfId="0" applyFont="1" applyAlignment="1">
      <alignment/>
    </xf>
    <xf numFmtId="0" fontId="0" fillId="72" borderId="0" xfId="0" applyFont="1" applyFill="1" applyAlignment="1">
      <alignment/>
    </xf>
    <xf numFmtId="0" fontId="0" fillId="72" borderId="0" xfId="0" applyFill="1" applyAlignment="1">
      <alignment/>
    </xf>
    <xf numFmtId="0" fontId="7" fillId="72" borderId="0" xfId="48" applyFill="1" applyAlignment="1" applyProtection="1">
      <alignment/>
      <protection/>
    </xf>
    <xf numFmtId="2" fontId="0" fillId="36" borderId="0" xfId="0" applyNumberFormat="1" applyFill="1" applyAlignment="1">
      <alignment/>
    </xf>
    <xf numFmtId="2" fontId="39" fillId="34" borderId="67" xfId="0" applyNumberFormat="1" applyFont="1" applyFill="1" applyBorder="1" applyAlignment="1">
      <alignment/>
    </xf>
    <xf numFmtId="1" fontId="0" fillId="36" borderId="0" xfId="0" applyNumberFormat="1" applyFill="1" applyAlignment="1">
      <alignment/>
    </xf>
    <xf numFmtId="267" fontId="0" fillId="36" borderId="0" xfId="0" applyNumberFormat="1" applyFill="1" applyAlignment="1">
      <alignment/>
    </xf>
    <xf numFmtId="0" fontId="0" fillId="34" borderId="0" xfId="0" applyFont="1" applyFill="1" applyAlignment="1">
      <alignment horizontal="left"/>
    </xf>
    <xf numFmtId="0" fontId="151" fillId="34" borderId="0" xfId="0" applyFont="1" applyFill="1" applyAlignment="1">
      <alignment/>
    </xf>
    <xf numFmtId="0" fontId="0" fillId="34" borderId="0" xfId="0" applyFont="1" applyFill="1" applyAlignment="1" applyProtection="1">
      <alignment/>
      <protection locked="0"/>
    </xf>
    <xf numFmtId="0" fontId="135" fillId="34" borderId="0" xfId="0" applyFont="1" applyFill="1" applyAlignment="1">
      <alignment horizontal="right"/>
    </xf>
    <xf numFmtId="2" fontId="152" fillId="73" borderId="0" xfId="0" applyNumberFormat="1" applyFont="1" applyFill="1" applyBorder="1" applyAlignment="1" applyProtection="1">
      <alignment horizontal="center"/>
      <protection locked="0"/>
    </xf>
    <xf numFmtId="0" fontId="152" fillId="73" borderId="0" xfId="0" applyFont="1" applyFill="1" applyBorder="1" applyAlignment="1" applyProtection="1">
      <alignment horizontal="center"/>
      <protection locked="0"/>
    </xf>
    <xf numFmtId="0" fontId="0" fillId="0" borderId="0" xfId="0" applyFont="1" applyFill="1" applyBorder="1" applyAlignment="1">
      <alignment/>
    </xf>
    <xf numFmtId="2" fontId="135" fillId="74" borderId="0" xfId="0" applyNumberFormat="1" applyFont="1" applyFill="1" applyBorder="1" applyAlignment="1">
      <alignment horizontal="center"/>
    </xf>
    <xf numFmtId="2" fontId="135" fillId="75" borderId="0" xfId="0" applyNumberFormat="1" applyFont="1" applyFill="1" applyBorder="1" applyAlignment="1">
      <alignment horizontal="center"/>
    </xf>
    <xf numFmtId="0" fontId="152" fillId="0" borderId="0" xfId="0" applyFont="1" applyFill="1" applyBorder="1" applyAlignment="1">
      <alignment horizontal="center"/>
    </xf>
    <xf numFmtId="1" fontId="135" fillId="74" borderId="0" xfId="0" applyNumberFormat="1" applyFont="1" applyFill="1" applyBorder="1" applyAlignment="1">
      <alignment horizontal="center"/>
    </xf>
    <xf numFmtId="10" fontId="152" fillId="0" borderId="0" xfId="0" applyNumberFormat="1" applyFont="1" applyFill="1" applyBorder="1" applyAlignment="1">
      <alignment horizontal="center"/>
    </xf>
    <xf numFmtId="0" fontId="152" fillId="74" borderId="0" xfId="0" applyFont="1" applyFill="1" applyBorder="1" applyAlignment="1">
      <alignment horizontal="center"/>
    </xf>
    <xf numFmtId="2" fontId="135" fillId="76" borderId="0" xfId="0" applyNumberFormat="1" applyFont="1" applyFill="1" applyBorder="1" applyAlignment="1">
      <alignment horizontal="center"/>
    </xf>
    <xf numFmtId="2" fontId="152" fillId="74" borderId="0" xfId="0" applyNumberFormat="1" applyFont="1" applyFill="1" applyBorder="1" applyAlignment="1">
      <alignment horizontal="center"/>
    </xf>
    <xf numFmtId="0" fontId="135" fillId="73" borderId="0" xfId="0" applyFont="1" applyFill="1" applyBorder="1" applyAlignment="1">
      <alignment horizontal="center"/>
    </xf>
    <xf numFmtId="268" fontId="35" fillId="0" borderId="19" xfId="0" applyNumberFormat="1" applyFont="1" applyFill="1" applyBorder="1" applyAlignment="1">
      <alignment horizontal="center" vertical="top" wrapText="1"/>
    </xf>
    <xf numFmtId="211" fontId="149" fillId="67" borderId="17" xfId="0" applyNumberFormat="1" applyFont="1" applyFill="1" applyBorder="1" applyAlignment="1">
      <alignment horizontal="center" vertical="top"/>
    </xf>
    <xf numFmtId="271" fontId="148" fillId="67" borderId="19" xfId="0" applyNumberFormat="1" applyFont="1" applyFill="1" applyBorder="1" applyAlignment="1">
      <alignment horizontal="center" vertical="top" wrapText="1"/>
    </xf>
    <xf numFmtId="0" fontId="150" fillId="0" borderId="0" xfId="0" applyFont="1" applyFill="1" applyAlignment="1">
      <alignment vertical="top"/>
    </xf>
    <xf numFmtId="0" fontId="153" fillId="0" borderId="0" xfId="0" applyFont="1" applyFill="1" applyBorder="1" applyAlignment="1">
      <alignment/>
    </xf>
    <xf numFmtId="2" fontId="0" fillId="34" borderId="0" xfId="0" applyNumberFormat="1" applyFill="1" applyAlignment="1">
      <alignment/>
    </xf>
    <xf numFmtId="0" fontId="9" fillId="34" borderId="24" xfId="0" applyFont="1" applyFill="1" applyBorder="1" applyAlignment="1">
      <alignment/>
    </xf>
    <xf numFmtId="0" fontId="9" fillId="34" borderId="37" xfId="0" applyFont="1" applyFill="1" applyBorder="1" applyAlignment="1">
      <alignment/>
    </xf>
    <xf numFmtId="0" fontId="154" fillId="34" borderId="28" xfId="0" applyFont="1" applyFill="1" applyBorder="1" applyAlignment="1">
      <alignment/>
    </xf>
    <xf numFmtId="0" fontId="154" fillId="34" borderId="50" xfId="0" applyFont="1" applyFill="1" applyBorder="1" applyAlignment="1">
      <alignment/>
    </xf>
    <xf numFmtId="0" fontId="155" fillId="0" borderId="50" xfId="0" applyFont="1" applyBorder="1" applyAlignment="1">
      <alignment/>
    </xf>
    <xf numFmtId="0" fontId="154" fillId="34" borderId="36" xfId="0" applyFont="1" applyFill="1" applyBorder="1" applyAlignment="1">
      <alignment horizontal="right"/>
    </xf>
    <xf numFmtId="0" fontId="154" fillId="34" borderId="46" xfId="0" applyFont="1" applyFill="1" applyBorder="1" applyAlignment="1">
      <alignment/>
    </xf>
    <xf numFmtId="0" fontId="154" fillId="34" borderId="46" xfId="0" applyFont="1" applyFill="1" applyBorder="1" applyAlignment="1">
      <alignment horizontal="right"/>
    </xf>
    <xf numFmtId="0" fontId="9" fillId="48" borderId="50" xfId="0" applyFont="1" applyFill="1" applyBorder="1" applyAlignment="1">
      <alignment/>
    </xf>
    <xf numFmtId="0" fontId="9" fillId="48" borderId="24" xfId="0" applyFont="1" applyFill="1" applyBorder="1" applyAlignment="1">
      <alignment/>
    </xf>
    <xf numFmtId="0" fontId="154" fillId="48" borderId="36" xfId="0" applyFont="1" applyFill="1" applyBorder="1" applyAlignment="1">
      <alignment horizontal="right"/>
    </xf>
    <xf numFmtId="0" fontId="154" fillId="48" borderId="46" xfId="0" applyFont="1" applyFill="1" applyBorder="1" applyAlignment="1">
      <alignment/>
    </xf>
    <xf numFmtId="0" fontId="9" fillId="48" borderId="46" xfId="0" applyFont="1" applyFill="1" applyBorder="1" applyAlignment="1">
      <alignment/>
    </xf>
    <xf numFmtId="0" fontId="9" fillId="48" borderId="37" xfId="0" applyFont="1" applyFill="1" applyBorder="1" applyAlignment="1">
      <alignment/>
    </xf>
    <xf numFmtId="0" fontId="34" fillId="77" borderId="0" xfId="0" applyFont="1" applyFill="1" applyBorder="1" applyAlignment="1">
      <alignment vertical="top" wrapText="1"/>
    </xf>
    <xf numFmtId="0" fontId="34" fillId="77" borderId="18" xfId="0" applyFont="1" applyFill="1" applyBorder="1" applyAlignment="1">
      <alignment vertical="top" wrapText="1"/>
    </xf>
    <xf numFmtId="0" fontId="36" fillId="77" borderId="18" xfId="0" applyFont="1" applyFill="1" applyBorder="1" applyAlignment="1">
      <alignment vertical="top" wrapText="1"/>
    </xf>
    <xf numFmtId="0" fontId="34" fillId="78" borderId="0" xfId="0" applyFont="1" applyFill="1" applyBorder="1" applyAlignment="1">
      <alignment vertical="top" wrapText="1"/>
    </xf>
    <xf numFmtId="0" fontId="34" fillId="78" borderId="18" xfId="0" applyFont="1" applyFill="1" applyBorder="1" applyAlignment="1">
      <alignment vertical="top" wrapText="1"/>
    </xf>
    <xf numFmtId="0" fontId="34" fillId="0" borderId="18" xfId="0" applyFont="1" applyFill="1" applyBorder="1" applyAlignment="1">
      <alignment vertical="top" wrapText="1"/>
    </xf>
    <xf numFmtId="0" fontId="35" fillId="78" borderId="18" xfId="0" applyFont="1" applyFill="1" applyBorder="1" applyAlignment="1">
      <alignment vertical="top" wrapText="1"/>
    </xf>
    <xf numFmtId="0" fontId="34" fillId="65" borderId="0" xfId="0" applyFont="1" applyFill="1" applyBorder="1" applyAlignment="1">
      <alignment vertical="top" wrapText="1"/>
    </xf>
    <xf numFmtId="0" fontId="36" fillId="77" borderId="18" xfId="0" applyFont="1" applyFill="1" applyBorder="1" applyAlignment="1">
      <alignment vertical="top"/>
    </xf>
    <xf numFmtId="0" fontId="29" fillId="78" borderId="18" xfId="0" applyFont="1" applyFill="1" applyBorder="1" applyAlignment="1">
      <alignment/>
    </xf>
    <xf numFmtId="0" fontId="34" fillId="79" borderId="0" xfId="0" applyFont="1" applyFill="1" applyBorder="1" applyAlignment="1">
      <alignment vertical="top" wrapText="1"/>
    </xf>
    <xf numFmtId="0" fontId="34" fillId="79" borderId="18" xfId="0" applyFont="1" applyFill="1" applyBorder="1" applyAlignment="1">
      <alignment vertical="top" wrapText="1"/>
    </xf>
    <xf numFmtId="0" fontId="37" fillId="79" borderId="18" xfId="0" applyFont="1" applyFill="1" applyBorder="1" applyAlignment="1">
      <alignment vertical="top" wrapText="1"/>
    </xf>
    <xf numFmtId="0" fontId="34" fillId="65" borderId="18" xfId="0" applyFont="1" applyFill="1" applyBorder="1" applyAlignment="1">
      <alignment vertical="top" wrapText="1"/>
    </xf>
    <xf numFmtId="0" fontId="37" fillId="79" borderId="0" xfId="0" applyFont="1" applyFill="1" applyBorder="1" applyAlignment="1">
      <alignment vertical="top" wrapText="1"/>
    </xf>
    <xf numFmtId="0" fontId="83" fillId="0" borderId="18" xfId="0" applyFont="1" applyFill="1" applyBorder="1" applyAlignment="1">
      <alignment vertical="top" wrapText="1"/>
    </xf>
    <xf numFmtId="0" fontId="34" fillId="61" borderId="0" xfId="0" applyFont="1" applyFill="1" applyBorder="1" applyAlignment="1">
      <alignment vertical="top" wrapText="1"/>
    </xf>
    <xf numFmtId="0" fontId="35" fillId="61" borderId="18" xfId="0" applyFont="1" applyFill="1" applyBorder="1" applyAlignment="1">
      <alignment vertical="top" wrapText="1"/>
    </xf>
    <xf numFmtId="0" fontId="34" fillId="61" borderId="18" xfId="0" applyFont="1" applyFill="1" applyBorder="1" applyAlignment="1">
      <alignment vertical="top" wrapText="1"/>
    </xf>
    <xf numFmtId="0" fontId="34" fillId="0" borderId="18" xfId="0" applyFont="1" applyFill="1" applyBorder="1" applyAlignment="1">
      <alignment horizontal="center" vertical="top" wrapText="1"/>
    </xf>
    <xf numFmtId="0" fontId="36" fillId="77" borderId="17" xfId="0" applyFont="1" applyFill="1" applyBorder="1" applyAlignment="1">
      <alignment vertical="top" wrapText="1"/>
    </xf>
    <xf numFmtId="0" fontId="35" fillId="78" borderId="0" xfId="0" applyFont="1" applyFill="1" applyBorder="1" applyAlignment="1">
      <alignment vertical="top" wrapText="1"/>
    </xf>
    <xf numFmtId="0" fontId="34" fillId="0" borderId="18" xfId="0" applyFont="1" applyFill="1" applyBorder="1" applyAlignment="1">
      <alignment horizontal="centerContinuous" vertical="top" wrapText="1"/>
    </xf>
    <xf numFmtId="0" fontId="35" fillId="65" borderId="0" xfId="0" applyFont="1" applyFill="1" applyBorder="1" applyAlignment="1">
      <alignment vertical="top" wrapText="1"/>
    </xf>
    <xf numFmtId="0" fontId="35" fillId="65" borderId="18" xfId="0" applyFont="1" applyFill="1" applyBorder="1" applyAlignment="1">
      <alignment vertical="top" wrapText="1"/>
    </xf>
    <xf numFmtId="0" fontId="84" fillId="78" borderId="18" xfId="0" applyFont="1" applyFill="1" applyBorder="1" applyAlignment="1">
      <alignment vertical="top" wrapText="1"/>
    </xf>
    <xf numFmtId="0" fontId="84" fillId="0" borderId="18" xfId="0" applyFont="1" applyFill="1" applyBorder="1" applyAlignment="1">
      <alignment vertical="top" wrapText="1"/>
    </xf>
    <xf numFmtId="0" fontId="34" fillId="48" borderId="0" xfId="0" applyFont="1" applyFill="1" applyBorder="1" applyAlignment="1">
      <alignment vertical="top" wrapText="1"/>
    </xf>
    <xf numFmtId="0" fontId="36" fillId="77" borderId="0" xfId="0" applyFont="1" applyFill="1" applyBorder="1" applyAlignment="1">
      <alignment vertical="top" wrapText="1"/>
    </xf>
    <xf numFmtId="0" fontId="35" fillId="77" borderId="0" xfId="0" applyFont="1" applyFill="1" applyBorder="1" applyAlignment="1">
      <alignment vertical="top" wrapText="1"/>
    </xf>
    <xf numFmtId="0" fontId="34" fillId="80" borderId="0" xfId="0" applyFont="1" applyFill="1" applyBorder="1" applyAlignment="1">
      <alignment vertical="top" wrapText="1"/>
    </xf>
    <xf numFmtId="0" fontId="84" fillId="80" borderId="18" xfId="0" applyFont="1" applyFill="1" applyBorder="1" applyAlignment="1">
      <alignment vertical="top" wrapText="1"/>
    </xf>
    <xf numFmtId="0" fontId="35" fillId="80" borderId="18" xfId="0" applyFont="1" applyFill="1" applyBorder="1" applyAlignment="1">
      <alignment vertical="top" wrapText="1"/>
    </xf>
    <xf numFmtId="0" fontId="36" fillId="77" borderId="18" xfId="0" applyFont="1" applyFill="1" applyBorder="1" applyAlignment="1">
      <alignment horizontal="left" vertical="top"/>
    </xf>
    <xf numFmtId="0" fontId="35" fillId="77" borderId="17" xfId="0" applyFont="1" applyFill="1" applyBorder="1" applyAlignment="1">
      <alignment horizontal="center" vertical="top" wrapText="1"/>
    </xf>
    <xf numFmtId="168" fontId="35" fillId="77" borderId="17" xfId="0" applyNumberFormat="1" applyFont="1" applyFill="1" applyBorder="1" applyAlignment="1">
      <alignment horizontal="center" vertical="top" wrapText="1"/>
    </xf>
    <xf numFmtId="0" fontId="36" fillId="77" borderId="17" xfId="0" applyFont="1" applyFill="1" applyBorder="1" applyAlignment="1">
      <alignment horizontal="center" vertical="top" wrapText="1"/>
    </xf>
    <xf numFmtId="0" fontId="37" fillId="77" borderId="17" xfId="0" applyFont="1" applyFill="1" applyBorder="1" applyAlignment="1">
      <alignment horizontal="center" vertical="top" wrapText="1"/>
    </xf>
    <xf numFmtId="0" fontId="34" fillId="77" borderId="17" xfId="0" applyFont="1" applyFill="1" applyBorder="1" applyAlignment="1">
      <alignment horizontal="center" vertical="top" wrapText="1"/>
    </xf>
    <xf numFmtId="0" fontId="35" fillId="77" borderId="19" xfId="0" applyFont="1" applyFill="1" applyBorder="1" applyAlignment="1">
      <alignment horizontal="center" vertical="top" wrapText="1"/>
    </xf>
    <xf numFmtId="169" fontId="35" fillId="78" borderId="17" xfId="0" applyNumberFormat="1" applyFont="1" applyFill="1" applyBorder="1" applyAlignment="1">
      <alignment horizontal="center" vertical="top" wrapText="1"/>
    </xf>
    <xf numFmtId="168" fontId="35" fillId="78" borderId="17" xfId="0" applyNumberFormat="1" applyFont="1" applyFill="1" applyBorder="1" applyAlignment="1">
      <alignment horizontal="center" vertical="top" wrapText="1"/>
    </xf>
    <xf numFmtId="173" fontId="67" fillId="78" borderId="17" xfId="0" applyNumberFormat="1" applyFont="1" applyFill="1" applyBorder="1" applyAlignment="1">
      <alignment horizontal="center" vertical="top" wrapText="1"/>
    </xf>
    <xf numFmtId="0" fontId="37" fillId="78" borderId="17" xfId="0" applyFont="1" applyFill="1" applyBorder="1" applyAlignment="1">
      <alignment horizontal="center" vertical="top" wrapText="1"/>
    </xf>
    <xf numFmtId="171" fontId="35" fillId="78" borderId="19" xfId="0" applyNumberFormat="1" applyFont="1" applyFill="1" applyBorder="1" applyAlignment="1">
      <alignment horizontal="center" vertical="top" wrapText="1"/>
    </xf>
    <xf numFmtId="0" fontId="35" fillId="78" borderId="19" xfId="0" applyFont="1" applyFill="1" applyBorder="1" applyAlignment="1">
      <alignment horizontal="center" vertical="top" wrapText="1"/>
    </xf>
    <xf numFmtId="0" fontId="37" fillId="0" borderId="17" xfId="0" applyFont="1" applyFill="1" applyBorder="1" applyAlignment="1">
      <alignment horizontal="center" vertical="top" wrapText="1"/>
    </xf>
    <xf numFmtId="174" fontId="35" fillId="78" borderId="17" xfId="0" applyNumberFormat="1" applyFont="1" applyFill="1" applyBorder="1" applyAlignment="1">
      <alignment horizontal="center" vertical="top" wrapText="1"/>
    </xf>
    <xf numFmtId="232" fontId="67" fillId="78" borderId="17" xfId="0" applyNumberFormat="1" applyFont="1" applyFill="1" applyBorder="1" applyAlignment="1">
      <alignment horizontal="center" vertical="top" wrapText="1"/>
    </xf>
    <xf numFmtId="0" fontId="35" fillId="77" borderId="0" xfId="0" applyFont="1" applyFill="1" applyBorder="1" applyAlignment="1">
      <alignment horizontal="center" vertical="top"/>
    </xf>
    <xf numFmtId="179" fontId="37" fillId="0" borderId="17" xfId="0" applyNumberFormat="1" applyFont="1" applyFill="1" applyBorder="1" applyAlignment="1">
      <alignment horizontal="center" vertical="top" wrapText="1"/>
    </xf>
    <xf numFmtId="179" fontId="37" fillId="78" borderId="17" xfId="0" applyNumberFormat="1" applyFont="1" applyFill="1" applyBorder="1" applyAlignment="1">
      <alignment horizontal="center" vertical="top" wrapText="1"/>
    </xf>
    <xf numFmtId="171" fontId="35" fillId="63" borderId="19" xfId="0" applyNumberFormat="1" applyFont="1" applyFill="1" applyBorder="1" applyAlignment="1">
      <alignment horizontal="center" vertical="top" wrapText="1"/>
    </xf>
    <xf numFmtId="182" fontId="35" fillId="78" borderId="17" xfId="0" applyNumberFormat="1" applyFont="1" applyFill="1" applyBorder="1" applyAlignment="1">
      <alignment horizontal="center" vertical="top" wrapText="1"/>
    </xf>
    <xf numFmtId="2" fontId="36" fillId="78" borderId="17" xfId="0" applyNumberFormat="1" applyFont="1" applyFill="1" applyBorder="1" applyAlignment="1">
      <alignment horizontal="center" vertical="top" wrapText="1"/>
    </xf>
    <xf numFmtId="233" fontId="85" fillId="78" borderId="17" xfId="0" applyNumberFormat="1" applyFont="1" applyFill="1" applyBorder="1" applyAlignment="1">
      <alignment horizontal="center" vertical="top" wrapText="1"/>
    </xf>
    <xf numFmtId="183" fontId="35" fillId="78" borderId="19" xfId="0" applyNumberFormat="1" applyFont="1" applyFill="1" applyBorder="1" applyAlignment="1">
      <alignment horizontal="center" vertical="top" wrapText="1"/>
    </xf>
    <xf numFmtId="233" fontId="85" fillId="0" borderId="17" xfId="0" applyNumberFormat="1" applyFont="1" applyFill="1" applyBorder="1" applyAlignment="1">
      <alignment horizontal="center" vertical="top" wrapText="1"/>
    </xf>
    <xf numFmtId="233" fontId="37" fillId="0" borderId="17" xfId="0" applyNumberFormat="1" applyFont="1" applyFill="1" applyBorder="1" applyAlignment="1">
      <alignment horizontal="center" vertical="top" wrapText="1"/>
    </xf>
    <xf numFmtId="233" fontId="37" fillId="78" borderId="17" xfId="0" applyNumberFormat="1" applyFont="1" applyFill="1" applyBorder="1" applyAlignment="1">
      <alignment horizontal="center" vertical="top" wrapText="1"/>
    </xf>
    <xf numFmtId="272" fontId="37" fillId="78" borderId="17" xfId="0" applyNumberFormat="1" applyFont="1" applyFill="1" applyBorder="1" applyAlignment="1">
      <alignment horizontal="center" vertical="top" wrapText="1"/>
    </xf>
    <xf numFmtId="272" fontId="37" fillId="0" borderId="17" xfId="0" applyNumberFormat="1" applyFont="1" applyFill="1" applyBorder="1" applyAlignment="1">
      <alignment horizontal="center" vertical="top" wrapText="1"/>
    </xf>
    <xf numFmtId="2" fontId="67" fillId="78" borderId="17" xfId="0" applyNumberFormat="1" applyFont="1" applyFill="1" applyBorder="1" applyAlignment="1">
      <alignment horizontal="center" vertical="top" wrapText="1"/>
    </xf>
    <xf numFmtId="0" fontId="29" fillId="78" borderId="17" xfId="0" applyFont="1" applyFill="1" applyBorder="1" applyAlignment="1">
      <alignment/>
    </xf>
    <xf numFmtId="175" fontId="35" fillId="78" borderId="17" xfId="0" applyNumberFormat="1" applyFont="1" applyFill="1" applyBorder="1" applyAlignment="1">
      <alignment horizontal="center" vertical="top" wrapText="1"/>
    </xf>
    <xf numFmtId="172" fontId="37" fillId="78" borderId="17" xfId="0" applyNumberFormat="1" applyFont="1" applyFill="1" applyBorder="1" applyAlignment="1">
      <alignment horizontal="center" vertical="top" wrapText="1"/>
    </xf>
    <xf numFmtId="172" fontId="37" fillId="0" borderId="17" xfId="0" applyNumberFormat="1" applyFont="1" applyFill="1" applyBorder="1" applyAlignment="1">
      <alignment horizontal="center" vertical="top" wrapText="1"/>
    </xf>
    <xf numFmtId="177" fontId="85" fillId="78" borderId="17" xfId="0" applyNumberFormat="1" applyFont="1" applyFill="1" applyBorder="1" applyAlignment="1">
      <alignment horizontal="center" vertical="top" wrapText="1"/>
    </xf>
    <xf numFmtId="178" fontId="35" fillId="78" borderId="19" xfId="0" applyNumberFormat="1" applyFont="1" applyFill="1" applyBorder="1" applyAlignment="1">
      <alignment horizontal="center" vertical="top" wrapText="1"/>
    </xf>
    <xf numFmtId="177" fontId="85" fillId="0" borderId="17" xfId="0" applyNumberFormat="1" applyFont="1" applyFill="1" applyBorder="1" applyAlignment="1">
      <alignment horizontal="center" vertical="top" wrapText="1"/>
    </xf>
    <xf numFmtId="174" fontId="35" fillId="79" borderId="17" xfId="0" applyNumberFormat="1" applyFont="1" applyFill="1" applyBorder="1" applyAlignment="1">
      <alignment horizontal="center" vertical="top" wrapText="1"/>
    </xf>
    <xf numFmtId="168" fontId="35" fillId="79" borderId="17" xfId="0" applyNumberFormat="1" applyFont="1" applyFill="1" applyBorder="1" applyAlignment="1">
      <alignment horizontal="center" vertical="top" wrapText="1"/>
    </xf>
    <xf numFmtId="2" fontId="36" fillId="79" borderId="17" xfId="0" applyNumberFormat="1" applyFont="1" applyFill="1" applyBorder="1" applyAlignment="1">
      <alignment horizontal="center" vertical="top" wrapText="1"/>
    </xf>
    <xf numFmtId="0" fontId="37" fillId="79" borderId="17" xfId="0" applyFont="1" applyFill="1" applyBorder="1" applyAlignment="1">
      <alignment horizontal="center" vertical="top" wrapText="1"/>
    </xf>
    <xf numFmtId="172" fontId="34" fillId="79" borderId="17" xfId="0" applyNumberFormat="1" applyFont="1" applyFill="1" applyBorder="1" applyAlignment="1">
      <alignment horizontal="center" vertical="top" wrapText="1"/>
    </xf>
    <xf numFmtId="171" fontId="35" fillId="79" borderId="19" xfId="0" applyNumberFormat="1" applyFont="1" applyFill="1" applyBorder="1" applyAlignment="1">
      <alignment horizontal="center" vertical="top" wrapText="1"/>
    </xf>
    <xf numFmtId="0" fontId="35" fillId="79" borderId="19" xfId="0" applyFont="1" applyFill="1" applyBorder="1" applyAlignment="1">
      <alignment horizontal="center" vertical="top" wrapText="1"/>
    </xf>
    <xf numFmtId="181" fontId="37" fillId="0" borderId="17" xfId="0" applyNumberFormat="1" applyFont="1" applyFill="1" applyBorder="1" applyAlignment="1">
      <alignment horizontal="center" vertical="top" wrapText="1"/>
    </xf>
    <xf numFmtId="166" fontId="37" fillId="0" borderId="17" xfId="0" applyNumberFormat="1" applyFont="1" applyFill="1" applyBorder="1" applyAlignment="1">
      <alignment horizontal="center" vertical="top" wrapText="1"/>
    </xf>
    <xf numFmtId="166" fontId="37" fillId="78" borderId="17" xfId="0" applyNumberFormat="1" applyFont="1" applyFill="1" applyBorder="1" applyAlignment="1">
      <alignment horizontal="center" vertical="top" wrapText="1"/>
    </xf>
    <xf numFmtId="166" fontId="85" fillId="78" borderId="17" xfId="0" applyNumberFormat="1" applyFont="1" applyFill="1" applyBorder="1" applyAlignment="1">
      <alignment horizontal="center" vertical="top" wrapText="1"/>
    </xf>
    <xf numFmtId="166" fontId="85" fillId="0" borderId="17" xfId="0" applyNumberFormat="1" applyFont="1" applyFill="1" applyBorder="1" applyAlignment="1">
      <alignment horizontal="center" vertical="top" wrapText="1"/>
    </xf>
    <xf numFmtId="182" fontId="35" fillId="65" borderId="17" xfId="0" applyNumberFormat="1" applyFont="1" applyFill="1" applyBorder="1" applyAlignment="1">
      <alignment horizontal="center" vertical="top" wrapText="1"/>
    </xf>
    <xf numFmtId="168" fontId="35" fillId="65" borderId="17" xfId="0" applyNumberFormat="1" applyFont="1" applyFill="1" applyBorder="1" applyAlignment="1">
      <alignment horizontal="center" vertical="top" wrapText="1"/>
    </xf>
    <xf numFmtId="232" fontId="67" fillId="65" borderId="17" xfId="0" applyNumberFormat="1" applyFont="1" applyFill="1" applyBorder="1" applyAlignment="1">
      <alignment horizontal="center" vertical="top" wrapText="1"/>
    </xf>
    <xf numFmtId="0" fontId="37" fillId="65" borderId="17" xfId="0" applyFont="1" applyFill="1" applyBorder="1" applyAlignment="1">
      <alignment horizontal="center" vertical="top" wrapText="1"/>
    </xf>
    <xf numFmtId="172" fontId="34" fillId="65" borderId="17" xfId="0" applyNumberFormat="1" applyFont="1" applyFill="1" applyBorder="1" applyAlignment="1">
      <alignment horizontal="center" vertical="top" wrapText="1"/>
    </xf>
    <xf numFmtId="171" fontId="35" fillId="65" borderId="19" xfId="0" applyNumberFormat="1" applyFont="1" applyFill="1" applyBorder="1" applyAlignment="1">
      <alignment horizontal="center" vertical="top" wrapText="1"/>
    </xf>
    <xf numFmtId="0" fontId="35" fillId="65" borderId="19" xfId="0" applyFont="1" applyFill="1" applyBorder="1" applyAlignment="1">
      <alignment horizontal="center" vertical="top" wrapText="1"/>
    </xf>
    <xf numFmtId="0" fontId="35" fillId="79" borderId="18" xfId="0" applyFont="1" applyFill="1" applyBorder="1" applyAlignment="1">
      <alignment vertical="top" wrapText="1"/>
    </xf>
    <xf numFmtId="184" fontId="35" fillId="61" borderId="17" xfId="0" applyNumberFormat="1" applyFont="1" applyFill="1" applyBorder="1" applyAlignment="1">
      <alignment horizontal="center" vertical="top" wrapText="1"/>
    </xf>
    <xf numFmtId="168" fontId="35" fillId="61" borderId="17" xfId="0" applyNumberFormat="1" applyFont="1" applyFill="1" applyBorder="1" applyAlignment="1">
      <alignment horizontal="center" vertical="top" wrapText="1"/>
    </xf>
    <xf numFmtId="173" fontId="36" fillId="61" borderId="17" xfId="0" applyNumberFormat="1" applyFont="1" applyFill="1" applyBorder="1" applyAlignment="1">
      <alignment horizontal="center" vertical="top" wrapText="1"/>
    </xf>
    <xf numFmtId="208" fontId="85" fillId="61" borderId="17" xfId="0" applyNumberFormat="1" applyFont="1" applyFill="1" applyBorder="1" applyAlignment="1">
      <alignment horizontal="center" vertical="top" wrapText="1"/>
    </xf>
    <xf numFmtId="208" fontId="34" fillId="61" borderId="17" xfId="0" applyNumberFormat="1" applyFont="1" applyFill="1" applyBorder="1" applyAlignment="1">
      <alignment horizontal="center" vertical="top" wrapText="1"/>
    </xf>
    <xf numFmtId="207" fontId="35" fillId="61" borderId="19" xfId="0" applyNumberFormat="1" applyFont="1" applyFill="1" applyBorder="1" applyAlignment="1">
      <alignment horizontal="center" vertical="top" wrapText="1"/>
    </xf>
    <xf numFmtId="0" fontId="35" fillId="61" borderId="19" xfId="0" applyFont="1" applyFill="1" applyBorder="1" applyAlignment="1">
      <alignment horizontal="center" vertical="top" wrapText="1"/>
    </xf>
    <xf numFmtId="208" fontId="85" fillId="0" borderId="17" xfId="0" applyNumberFormat="1" applyFont="1" applyFill="1" applyBorder="1" applyAlignment="1">
      <alignment horizontal="center" vertical="top" wrapText="1"/>
    </xf>
    <xf numFmtId="214" fontId="35" fillId="61" borderId="19" xfId="0" applyNumberFormat="1" applyFont="1" applyFill="1" applyBorder="1" applyAlignment="1">
      <alignment horizontal="center" vertical="top" wrapText="1"/>
    </xf>
    <xf numFmtId="184" fontId="35" fillId="78" borderId="17" xfId="0" applyNumberFormat="1" applyFont="1" applyFill="1" applyBorder="1" applyAlignment="1">
      <alignment horizontal="center" vertical="top" wrapText="1"/>
    </xf>
    <xf numFmtId="173" fontId="36" fillId="78" borderId="17" xfId="0" applyNumberFormat="1" applyFont="1" applyFill="1" applyBorder="1" applyAlignment="1">
      <alignment horizontal="center" vertical="top" wrapText="1"/>
    </xf>
    <xf numFmtId="208" fontId="85" fillId="78" borderId="17" xfId="0" applyNumberFormat="1" applyFont="1" applyFill="1" applyBorder="1" applyAlignment="1">
      <alignment horizontal="center" vertical="top" wrapText="1"/>
    </xf>
    <xf numFmtId="214" fontId="35" fillId="78" borderId="19" xfId="0" applyNumberFormat="1" applyFont="1" applyFill="1" applyBorder="1" applyAlignment="1">
      <alignment horizontal="center" vertical="top" wrapText="1"/>
    </xf>
    <xf numFmtId="273" fontId="35" fillId="0" borderId="17" xfId="0" applyNumberFormat="1" applyFont="1" applyFill="1" applyBorder="1" applyAlignment="1">
      <alignment horizontal="center" vertical="top" wrapText="1"/>
    </xf>
    <xf numFmtId="253" fontId="85" fillId="0" borderId="17" xfId="0" applyNumberFormat="1" applyFont="1" applyFill="1" applyBorder="1" applyAlignment="1">
      <alignment horizontal="center" vertical="top" wrapText="1"/>
    </xf>
    <xf numFmtId="253" fontId="34" fillId="0" borderId="17" xfId="0" applyNumberFormat="1" applyFont="1" applyFill="1" applyBorder="1" applyAlignment="1">
      <alignment horizontal="center" vertical="top" wrapText="1"/>
    </xf>
    <xf numFmtId="274" fontId="35" fillId="0" borderId="19" xfId="0" applyNumberFormat="1" applyFont="1" applyFill="1" applyBorder="1" applyAlignment="1">
      <alignment horizontal="center" vertical="top" wrapText="1"/>
    </xf>
    <xf numFmtId="185" fontId="37" fillId="0"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4"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240" fontId="67" fillId="78" borderId="17" xfId="0" applyNumberFormat="1" applyFont="1" applyFill="1" applyBorder="1" applyAlignment="1">
      <alignment horizontal="center" vertical="top" wrapText="1"/>
    </xf>
    <xf numFmtId="254" fontId="85" fillId="0" borderId="17" xfId="0" applyNumberFormat="1" applyFont="1" applyFill="1" applyBorder="1" applyAlignment="1">
      <alignment horizontal="center" vertical="top" wrapText="1"/>
    </xf>
    <xf numFmtId="254" fontId="34" fillId="0" borderId="17" xfId="0" applyNumberFormat="1" applyFont="1" applyFill="1" applyBorder="1" applyAlignment="1">
      <alignment horizontal="center" vertical="top" wrapText="1"/>
    </xf>
    <xf numFmtId="254" fontId="85" fillId="78" borderId="17" xfId="0" applyNumberFormat="1" applyFont="1" applyFill="1" applyBorder="1" applyAlignment="1">
      <alignment horizontal="center" vertical="top" wrapText="1"/>
    </xf>
    <xf numFmtId="254" fontId="34" fillId="78" borderId="17" xfId="0" applyNumberFormat="1" applyFont="1" applyFill="1" applyBorder="1" applyAlignment="1">
      <alignment horizontal="center" vertical="top" wrapText="1"/>
    </xf>
    <xf numFmtId="268" fontId="35" fillId="78" borderId="19" xfId="0" applyNumberFormat="1" applyFont="1" applyFill="1" applyBorder="1" applyAlignment="1">
      <alignment horizontal="center" vertical="top" wrapText="1"/>
    </xf>
    <xf numFmtId="0" fontId="85" fillId="0" borderId="17" xfId="0" applyFont="1" applyFill="1" applyBorder="1" applyAlignment="1">
      <alignment horizontal="center" vertical="top" wrapText="1"/>
    </xf>
    <xf numFmtId="0" fontId="85" fillId="77" borderId="17" xfId="0" applyFont="1" applyFill="1" applyBorder="1" applyAlignment="1">
      <alignment horizontal="center" vertical="top" wrapText="1"/>
    </xf>
    <xf numFmtId="182" fontId="35" fillId="79" borderId="17" xfId="0" applyNumberFormat="1" applyFont="1" applyFill="1" applyBorder="1" applyAlignment="1">
      <alignment horizontal="center" vertical="top" wrapText="1"/>
    </xf>
    <xf numFmtId="166" fontId="37" fillId="79" borderId="17" xfId="0" applyNumberFormat="1" applyFont="1" applyFill="1" applyBorder="1" applyAlignment="1">
      <alignment horizontal="center" vertical="top" wrapText="1"/>
    </xf>
    <xf numFmtId="166" fontId="34" fillId="79" borderId="17" xfId="0" applyNumberFormat="1" applyFont="1" applyFill="1" applyBorder="1" applyAlignment="1">
      <alignment horizontal="center" vertical="top" wrapText="1"/>
    </xf>
    <xf numFmtId="183" fontId="35" fillId="79" borderId="19" xfId="0" applyNumberFormat="1" applyFont="1" applyFill="1" applyBorder="1" applyAlignment="1">
      <alignment horizontal="center" vertical="top" wrapText="1"/>
    </xf>
    <xf numFmtId="182" fontId="35" fillId="78" borderId="19" xfId="0" applyNumberFormat="1" applyFont="1" applyFill="1" applyBorder="1" applyAlignment="1">
      <alignment horizontal="center" vertical="top" wrapText="1"/>
    </xf>
    <xf numFmtId="166" fontId="35" fillId="78" borderId="17" xfId="0" applyNumberFormat="1" applyFont="1" applyFill="1" applyBorder="1" applyAlignment="1">
      <alignment horizontal="center" vertical="top" wrapText="1"/>
    </xf>
    <xf numFmtId="275" fontId="36" fillId="0" borderId="19" xfId="0" applyNumberFormat="1" applyFont="1" applyFill="1" applyBorder="1" applyAlignment="1">
      <alignment horizontal="center" vertical="top" wrapText="1"/>
    </xf>
    <xf numFmtId="275" fontId="36" fillId="0" borderId="17" xfId="0" applyNumberFormat="1" applyFont="1" applyFill="1" applyBorder="1" applyAlignment="1">
      <alignment horizontal="center" vertical="top" wrapText="1"/>
    </xf>
    <xf numFmtId="185" fontId="37" fillId="78" borderId="17" xfId="0" applyNumberFormat="1" applyFont="1" applyFill="1" applyBorder="1" applyAlignment="1">
      <alignment horizontal="center" vertical="top" wrapText="1"/>
    </xf>
    <xf numFmtId="273" fontId="35" fillId="78" borderId="17" xfId="0" applyNumberFormat="1" applyFont="1" applyFill="1" applyBorder="1" applyAlignment="1">
      <alignment horizontal="center" vertical="top" wrapText="1"/>
    </xf>
    <xf numFmtId="253" fontId="85" fillId="78" borderId="17" xfId="0" applyNumberFormat="1" applyFont="1" applyFill="1" applyBorder="1" applyAlignment="1">
      <alignment horizontal="center" vertical="top" wrapText="1"/>
    </xf>
    <xf numFmtId="274" fontId="35" fillId="78" borderId="19" xfId="0" applyNumberFormat="1" applyFont="1" applyFill="1" applyBorder="1" applyAlignment="1">
      <alignment horizontal="center" vertical="top" wrapText="1"/>
    </xf>
    <xf numFmtId="1" fontId="35" fillId="78" borderId="19" xfId="0" applyNumberFormat="1" applyFont="1" applyFill="1" applyBorder="1" applyAlignment="1">
      <alignment horizontal="center" vertical="top" wrapText="1"/>
    </xf>
    <xf numFmtId="274" fontId="35" fillId="65" borderId="19" xfId="0" applyNumberFormat="1" applyFont="1" applyFill="1" applyBorder="1" applyAlignment="1">
      <alignment horizontal="center" vertical="top" wrapText="1"/>
    </xf>
    <xf numFmtId="193" fontId="35" fillId="78" borderId="17" xfId="0" applyNumberFormat="1" applyFont="1" applyFill="1" applyBorder="1" applyAlignment="1">
      <alignment horizontal="center" vertical="top" wrapText="1"/>
    </xf>
    <xf numFmtId="167" fontId="37" fillId="78" borderId="17" xfId="0" applyNumberFormat="1" applyFont="1" applyFill="1" applyBorder="1" applyAlignment="1">
      <alignment horizontal="center" vertical="top" wrapText="1"/>
    </xf>
    <xf numFmtId="167" fontId="37" fillId="0" borderId="17" xfId="0" applyNumberFormat="1" applyFont="1" applyFill="1" applyBorder="1" applyAlignment="1">
      <alignment horizontal="center" vertical="top" wrapText="1"/>
    </xf>
    <xf numFmtId="167" fontId="85" fillId="78" borderId="17" xfId="0" applyNumberFormat="1" applyFont="1" applyFill="1" applyBorder="1" applyAlignment="1">
      <alignment horizontal="center" vertical="top" wrapText="1"/>
    </xf>
    <xf numFmtId="205" fontId="35" fillId="78" borderId="19" xfId="0" applyNumberFormat="1" applyFont="1" applyFill="1" applyBorder="1" applyAlignment="1">
      <alignment horizontal="center" vertical="top" wrapText="1"/>
    </xf>
    <xf numFmtId="167" fontId="85" fillId="0" borderId="17" xfId="0" applyNumberFormat="1" applyFont="1" applyFill="1" applyBorder="1" applyAlignment="1">
      <alignment horizontal="center" vertical="top" wrapText="1"/>
    </xf>
    <xf numFmtId="167" fontId="35" fillId="78" borderId="17" xfId="0" applyNumberFormat="1" applyFont="1" applyFill="1" applyBorder="1" applyAlignment="1">
      <alignment horizontal="center" vertical="top" wrapText="1"/>
    </xf>
    <xf numFmtId="193" fontId="35" fillId="78" borderId="19" xfId="0" applyNumberFormat="1" applyFont="1" applyFill="1" applyBorder="1" applyAlignment="1">
      <alignment horizontal="center" vertical="top" wrapText="1"/>
    </xf>
    <xf numFmtId="199" fontId="37" fillId="0" borderId="17" xfId="0" applyNumberFormat="1" applyFont="1" applyFill="1" applyBorder="1" applyAlignment="1">
      <alignment horizontal="center" vertical="top" wrapText="1"/>
    </xf>
    <xf numFmtId="195" fontId="35" fillId="78" borderId="19" xfId="0" applyNumberFormat="1" applyFont="1" applyFill="1" applyBorder="1" applyAlignment="1">
      <alignment horizontal="center" vertical="top" wrapText="1"/>
    </xf>
    <xf numFmtId="172" fontId="83" fillId="78" borderId="17" xfId="0" applyNumberFormat="1" applyFont="1" applyFill="1" applyBorder="1" applyAlignment="1">
      <alignment horizontal="center" vertical="top" wrapText="1"/>
    </xf>
    <xf numFmtId="172" fontId="83" fillId="0" borderId="17" xfId="0" applyNumberFormat="1" applyFont="1" applyFill="1" applyBorder="1" applyAlignment="1">
      <alignment horizontal="center" vertical="top" wrapText="1"/>
    </xf>
    <xf numFmtId="218" fontId="35" fillId="78" borderId="17" xfId="0" applyNumberFormat="1" applyFont="1" applyFill="1" applyBorder="1" applyAlignment="1">
      <alignment horizontal="center" vertical="top" wrapText="1"/>
    </xf>
    <xf numFmtId="219" fontId="37" fillId="78" borderId="17" xfId="0" applyNumberFormat="1" applyFont="1" applyFill="1" applyBorder="1" applyAlignment="1">
      <alignment horizontal="center" vertical="top" wrapText="1"/>
    </xf>
    <xf numFmtId="191" fontId="35" fillId="78" borderId="17" xfId="0" applyNumberFormat="1" applyFont="1" applyFill="1" applyBorder="1" applyAlignment="1">
      <alignment horizontal="center" vertical="top" wrapText="1"/>
    </xf>
    <xf numFmtId="192" fontId="37" fillId="78" borderId="17" xfId="0" applyNumberFormat="1" applyFont="1" applyFill="1" applyBorder="1" applyAlignment="1">
      <alignment horizontal="center" vertical="top" wrapText="1"/>
    </xf>
    <xf numFmtId="2" fontId="67" fillId="65" borderId="17" xfId="0" applyNumberFormat="1" applyFont="1" applyFill="1" applyBorder="1" applyAlignment="1">
      <alignment horizontal="center" vertical="top" wrapText="1"/>
    </xf>
    <xf numFmtId="166" fontId="37" fillId="65" borderId="17" xfId="0" applyNumberFormat="1" applyFont="1" applyFill="1" applyBorder="1" applyAlignment="1">
      <alignment horizontal="center" vertical="top" wrapText="1"/>
    </xf>
    <xf numFmtId="166" fontId="34" fillId="65" borderId="17" xfId="0" applyNumberFormat="1" applyFont="1" applyFill="1" applyBorder="1" applyAlignment="1">
      <alignment horizontal="center" vertical="top" wrapText="1"/>
    </xf>
    <xf numFmtId="0" fontId="35" fillId="77" borderId="17" xfId="0" applyFont="1" applyFill="1" applyBorder="1" applyAlignment="1">
      <alignment horizontal="center" vertical="top"/>
    </xf>
    <xf numFmtId="166" fontId="83" fillId="0" borderId="17" xfId="0" applyNumberFormat="1" applyFont="1" applyFill="1" applyBorder="1" applyAlignment="1">
      <alignment horizontal="center" vertical="top" wrapText="1"/>
    </xf>
    <xf numFmtId="166" fontId="83" fillId="78" borderId="17" xfId="0" applyNumberFormat="1" applyFont="1" applyFill="1" applyBorder="1" applyAlignment="1">
      <alignment horizontal="center" vertical="top" wrapText="1"/>
    </xf>
    <xf numFmtId="209" fontId="37" fillId="0" borderId="17" xfId="0" applyNumberFormat="1" applyFont="1" applyFill="1" applyBorder="1" applyAlignment="1">
      <alignment horizontal="center" vertical="top" wrapText="1"/>
    </xf>
    <xf numFmtId="210" fontId="37" fillId="0" borderId="17" xfId="0" applyNumberFormat="1" applyFont="1" applyFill="1" applyBorder="1" applyAlignment="1">
      <alignment horizontal="center" vertical="top" wrapText="1"/>
    </xf>
    <xf numFmtId="206" fontId="35" fillId="78" borderId="17" xfId="0" applyNumberFormat="1" applyFont="1" applyFill="1" applyBorder="1" applyAlignment="1">
      <alignment horizontal="center" vertical="top" wrapText="1"/>
    </xf>
    <xf numFmtId="265" fontId="85" fillId="78" borderId="17" xfId="0" applyNumberFormat="1" applyFont="1" applyFill="1" applyBorder="1" applyAlignment="1">
      <alignment horizontal="center" vertical="top" wrapText="1"/>
    </xf>
    <xf numFmtId="207" fontId="35" fillId="80" borderId="19" xfId="0" applyNumberFormat="1" applyFont="1" applyFill="1" applyBorder="1" applyAlignment="1">
      <alignment horizontal="center" vertical="top" wrapText="1"/>
    </xf>
    <xf numFmtId="207" fontId="35" fillId="78" borderId="19" xfId="0" applyNumberFormat="1" applyFont="1" applyFill="1" applyBorder="1" applyAlignment="1">
      <alignment horizontal="center" vertical="top" wrapText="1"/>
    </xf>
    <xf numFmtId="208" fontId="37" fillId="0" borderId="17" xfId="0" applyNumberFormat="1" applyFont="1" applyFill="1" applyBorder="1" applyAlignment="1">
      <alignment horizontal="center" vertical="top" wrapText="1"/>
    </xf>
    <xf numFmtId="213" fontId="37" fillId="0" borderId="17" xfId="0" applyNumberFormat="1" applyFont="1" applyFill="1" applyBorder="1" applyAlignment="1">
      <alignment horizontal="center" vertical="top" wrapText="1"/>
    </xf>
    <xf numFmtId="206" fontId="35" fillId="61" borderId="17" xfId="0" applyNumberFormat="1" applyFont="1" applyFill="1" applyBorder="1" applyAlignment="1">
      <alignment horizontal="center" vertical="top" wrapText="1"/>
    </xf>
    <xf numFmtId="2" fontId="67" fillId="61" borderId="17" xfId="0" applyNumberFormat="1" applyFont="1" applyFill="1" applyBorder="1" applyAlignment="1">
      <alignment horizontal="center" vertical="top" wrapText="1"/>
    </xf>
    <xf numFmtId="208" fontId="37" fillId="61" borderId="17" xfId="0" applyNumberFormat="1" applyFont="1" applyFill="1" applyBorder="1" applyAlignment="1">
      <alignment horizontal="center" vertical="top" wrapText="1"/>
    </xf>
    <xf numFmtId="172" fontId="83" fillId="61" borderId="17" xfId="0" applyNumberFormat="1" applyFont="1" applyFill="1" applyBorder="1" applyAlignment="1">
      <alignment horizontal="center" vertical="top" wrapText="1"/>
    </xf>
    <xf numFmtId="172" fontId="34" fillId="61" borderId="17" xfId="0" applyNumberFormat="1" applyFont="1" applyFill="1" applyBorder="1" applyAlignment="1">
      <alignment horizontal="center" vertical="top" wrapText="1"/>
    </xf>
    <xf numFmtId="171" fontId="35" fillId="61" borderId="19" xfId="0" applyNumberFormat="1" applyFont="1" applyFill="1" applyBorder="1" applyAlignment="1">
      <alignment horizontal="center" vertical="top" wrapText="1"/>
    </xf>
    <xf numFmtId="2" fontId="36" fillId="65" borderId="17" xfId="0" applyNumberFormat="1" applyFont="1" applyFill="1" applyBorder="1" applyAlignment="1">
      <alignment horizontal="center" vertical="top" wrapText="1"/>
    </xf>
    <xf numFmtId="166" fontId="85" fillId="65" borderId="17" xfId="0" applyNumberFormat="1" applyFont="1" applyFill="1" applyBorder="1" applyAlignment="1">
      <alignment horizontal="center" vertical="top" wrapText="1"/>
    </xf>
    <xf numFmtId="183" fontId="35" fillId="65" borderId="19" xfId="0" applyNumberFormat="1" applyFont="1" applyFill="1" applyBorder="1" applyAlignment="1">
      <alignment horizontal="center" vertical="top" wrapText="1"/>
    </xf>
    <xf numFmtId="0" fontId="86" fillId="0" borderId="17" xfId="0" applyFont="1" applyFill="1" applyBorder="1" applyAlignment="1">
      <alignment/>
    </xf>
    <xf numFmtId="273" fontId="35" fillId="78" borderId="19" xfId="0" applyNumberFormat="1" applyFont="1" applyFill="1" applyBorder="1" applyAlignment="1">
      <alignment horizontal="center" vertical="top" wrapText="1"/>
    </xf>
    <xf numFmtId="273" fontId="35" fillId="0" borderId="19" xfId="0" applyNumberFormat="1" applyFont="1" applyFill="1" applyBorder="1" applyAlignment="1">
      <alignment horizontal="center" vertical="top" wrapText="1"/>
    </xf>
    <xf numFmtId="253" fontId="35" fillId="78" borderId="17" xfId="0" applyNumberFormat="1" applyFont="1" applyFill="1" applyBorder="1" applyAlignment="1">
      <alignment horizontal="center" vertical="top" wrapText="1"/>
    </xf>
    <xf numFmtId="171" fontId="35" fillId="48" borderId="19" xfId="0" applyNumberFormat="1" applyFont="1" applyFill="1" applyBorder="1" applyAlignment="1">
      <alignment horizontal="center" vertical="top" wrapText="1"/>
    </xf>
    <xf numFmtId="167" fontId="67" fillId="78" borderId="17" xfId="0" applyNumberFormat="1" applyFont="1" applyFill="1" applyBorder="1" applyAlignment="1">
      <alignment horizontal="center" vertical="top" wrapText="1"/>
    </xf>
    <xf numFmtId="204" fontId="35" fillId="78" borderId="19" xfId="0" applyNumberFormat="1" applyFont="1" applyFill="1" applyBorder="1" applyAlignment="1">
      <alignment horizontal="center" vertical="top" wrapText="1"/>
    </xf>
    <xf numFmtId="276" fontId="35" fillId="0" borderId="17" xfId="0" applyNumberFormat="1" applyFont="1" applyFill="1" applyBorder="1" applyAlignment="1">
      <alignment horizontal="center" vertical="top" wrapText="1"/>
    </xf>
    <xf numFmtId="255" fontId="85" fillId="0" borderId="17" xfId="0" applyNumberFormat="1" applyFont="1" applyFill="1" applyBorder="1" applyAlignment="1">
      <alignment horizontal="center" vertical="top" wrapText="1"/>
    </xf>
    <xf numFmtId="255" fontId="34" fillId="0" borderId="17" xfId="0" applyNumberFormat="1" applyFont="1" applyFill="1" applyBorder="1" applyAlignment="1">
      <alignment horizontal="center" vertical="top" wrapText="1"/>
    </xf>
    <xf numFmtId="180" fontId="35" fillId="78" borderId="17" xfId="0" applyNumberFormat="1" applyFont="1" applyFill="1" applyBorder="1" applyAlignment="1">
      <alignment horizontal="center" vertical="top" wrapText="1"/>
    </xf>
    <xf numFmtId="257" fontId="85" fillId="78" borderId="17" xfId="0" applyNumberFormat="1" applyFont="1" applyFill="1" applyBorder="1" applyAlignment="1">
      <alignment horizontal="center" vertical="top" wrapText="1"/>
    </xf>
    <xf numFmtId="257" fontId="34" fillId="78" borderId="17" xfId="0" applyNumberFormat="1" applyFont="1" applyFill="1" applyBorder="1" applyAlignment="1">
      <alignment horizontal="center" vertical="top" wrapText="1"/>
    </xf>
    <xf numFmtId="277" fontId="35" fillId="78" borderId="19" xfId="0" applyNumberFormat="1" applyFont="1" applyFill="1" applyBorder="1" applyAlignment="1">
      <alignment horizontal="center" vertical="top" wrapText="1"/>
    </xf>
    <xf numFmtId="257" fontId="85" fillId="0" borderId="17" xfId="0" applyNumberFormat="1" applyFont="1" applyFill="1" applyBorder="1" applyAlignment="1">
      <alignment horizontal="center" vertical="top" wrapText="1"/>
    </xf>
    <xf numFmtId="257" fontId="34" fillId="0" borderId="17" xfId="0" applyNumberFormat="1" applyFont="1" applyFill="1" applyBorder="1" applyAlignment="1">
      <alignment horizontal="center" vertical="top" wrapText="1"/>
    </xf>
    <xf numFmtId="277" fontId="35" fillId="0" borderId="19" xfId="0" applyNumberFormat="1" applyFont="1" applyFill="1" applyBorder="1" applyAlignment="1">
      <alignment horizontal="center" vertical="top" wrapText="1"/>
    </xf>
    <xf numFmtId="278" fontId="35" fillId="0" borderId="17" xfId="0" applyNumberFormat="1" applyFont="1" applyFill="1" applyBorder="1" applyAlignment="1">
      <alignment horizontal="center" vertical="top" wrapText="1"/>
    </xf>
    <xf numFmtId="278" fontId="35" fillId="78" borderId="17" xfId="0" applyNumberFormat="1" applyFont="1" applyFill="1" applyBorder="1" applyAlignment="1">
      <alignment horizontal="center" vertical="top" wrapText="1"/>
    </xf>
    <xf numFmtId="180" fontId="35" fillId="80" borderId="17" xfId="0" applyNumberFormat="1" applyFont="1" applyFill="1" applyBorder="1" applyAlignment="1">
      <alignment horizontal="center" vertical="top" wrapText="1"/>
    </xf>
    <xf numFmtId="168" fontId="35" fillId="80" borderId="17" xfId="0" applyNumberFormat="1" applyFont="1" applyFill="1" applyBorder="1" applyAlignment="1">
      <alignment horizontal="center" vertical="top" wrapText="1"/>
    </xf>
    <xf numFmtId="2" fontId="36" fillId="80" borderId="17" xfId="0" applyNumberFormat="1" applyFont="1" applyFill="1" applyBorder="1" applyAlignment="1">
      <alignment horizontal="center" vertical="top" wrapText="1"/>
    </xf>
    <xf numFmtId="257" fontId="85" fillId="80" borderId="17" xfId="0" applyNumberFormat="1" applyFont="1" applyFill="1" applyBorder="1" applyAlignment="1">
      <alignment horizontal="center" vertical="top" wrapText="1"/>
    </xf>
    <xf numFmtId="257" fontId="34" fillId="80" borderId="17" xfId="0" applyNumberFormat="1" applyFont="1" applyFill="1" applyBorder="1" applyAlignment="1">
      <alignment horizontal="center" vertical="top" wrapText="1"/>
    </xf>
    <xf numFmtId="277" fontId="35" fillId="80" borderId="19" xfId="0" applyNumberFormat="1" applyFont="1" applyFill="1" applyBorder="1" applyAlignment="1">
      <alignment horizontal="center" vertical="top" wrapText="1"/>
    </xf>
    <xf numFmtId="0" fontId="35" fillId="80" borderId="19" xfId="0" applyFont="1" applyFill="1" applyBorder="1" applyAlignment="1">
      <alignment horizontal="center" vertical="top" wrapText="1"/>
    </xf>
    <xf numFmtId="276" fontId="35" fillId="61" borderId="17" xfId="0" applyNumberFormat="1" applyFont="1" applyFill="1" applyBorder="1" applyAlignment="1">
      <alignment horizontal="center" vertical="top" wrapText="1"/>
    </xf>
    <xf numFmtId="2" fontId="36" fillId="61" borderId="17" xfId="0" applyNumberFormat="1" applyFont="1" applyFill="1" applyBorder="1" applyAlignment="1">
      <alignment horizontal="center" vertical="top" wrapText="1"/>
    </xf>
    <xf numFmtId="255" fontId="85" fillId="61" borderId="17" xfId="0" applyNumberFormat="1" applyFont="1" applyFill="1" applyBorder="1" applyAlignment="1">
      <alignment horizontal="center" vertical="top" wrapText="1"/>
    </xf>
    <xf numFmtId="255" fontId="34" fillId="61" borderId="17" xfId="0" applyNumberFormat="1" applyFont="1" applyFill="1" applyBorder="1" applyAlignment="1">
      <alignment horizontal="center" vertical="top" wrapText="1"/>
    </xf>
    <xf numFmtId="256" fontId="35" fillId="61" borderId="19" xfId="0" applyNumberFormat="1" applyFont="1" applyFill="1" applyBorder="1" applyAlignment="1">
      <alignment horizontal="center" vertical="top" wrapText="1"/>
    </xf>
    <xf numFmtId="172" fontId="37" fillId="79" borderId="17" xfId="0" applyNumberFormat="1" applyFont="1" applyFill="1" applyBorder="1" applyAlignment="1">
      <alignment horizontal="center" vertical="top" wrapText="1"/>
    </xf>
    <xf numFmtId="253" fontId="37" fillId="78" borderId="17" xfId="0" applyNumberFormat="1" applyFont="1" applyFill="1" applyBorder="1" applyAlignment="1">
      <alignment horizontal="center" vertical="top" wrapText="1"/>
    </xf>
    <xf numFmtId="253" fontId="37" fillId="0" borderId="17" xfId="0" applyNumberFormat="1" applyFont="1" applyFill="1" applyBorder="1" applyAlignment="1">
      <alignment horizontal="center" vertical="top" wrapText="1"/>
    </xf>
    <xf numFmtId="184" fontId="35" fillId="78" borderId="19" xfId="0" applyNumberFormat="1" applyFont="1" applyFill="1" applyBorder="1" applyAlignment="1">
      <alignment horizontal="center" vertical="top" wrapText="1"/>
    </xf>
    <xf numFmtId="167" fontId="83" fillId="0" borderId="17" xfId="0" applyNumberFormat="1" applyFont="1" applyFill="1" applyBorder="1" applyAlignment="1">
      <alignment horizontal="center" vertical="top" wrapText="1"/>
    </xf>
    <xf numFmtId="0" fontId="83" fillId="77" borderId="17" xfId="0" applyFont="1" applyFill="1" applyBorder="1" applyAlignment="1">
      <alignment horizontal="center" vertical="top" wrapText="1"/>
    </xf>
    <xf numFmtId="182" fontId="35" fillId="61" borderId="17" xfId="0" applyNumberFormat="1" applyFont="1" applyFill="1" applyBorder="1" applyAlignment="1">
      <alignment horizontal="center" vertical="top" wrapText="1"/>
    </xf>
    <xf numFmtId="172" fontId="37" fillId="61" borderId="17" xfId="0" applyNumberFormat="1" applyFont="1" applyFill="1" applyBorder="1" applyAlignment="1">
      <alignment horizontal="center" vertical="top" wrapText="1"/>
    </xf>
    <xf numFmtId="208" fontId="35" fillId="61" borderId="17" xfId="0" applyNumberFormat="1" applyFont="1" applyFill="1" applyBorder="1" applyAlignment="1">
      <alignment horizontal="center" vertical="top" wrapText="1"/>
    </xf>
    <xf numFmtId="279" fontId="35" fillId="0" borderId="17" xfId="0" applyNumberFormat="1" applyFont="1" applyFill="1" applyBorder="1" applyAlignment="1">
      <alignment horizontal="center" vertical="top" wrapText="1"/>
    </xf>
    <xf numFmtId="258" fontId="85" fillId="0" borderId="17" xfId="0" applyNumberFormat="1" applyFont="1" applyFill="1" applyBorder="1" applyAlignment="1">
      <alignment horizontal="center" vertical="top" wrapText="1"/>
    </xf>
    <xf numFmtId="258" fontId="34" fillId="0" borderId="17" xfId="0" applyNumberFormat="1" applyFont="1" applyFill="1" applyBorder="1" applyAlignment="1">
      <alignment horizontal="center" vertical="top" wrapText="1"/>
    </xf>
    <xf numFmtId="259" fontId="35" fillId="0" borderId="19" xfId="0" applyNumberFormat="1" applyFont="1" applyFill="1" applyBorder="1" applyAlignment="1">
      <alignment horizontal="center" vertical="top" wrapText="1"/>
    </xf>
    <xf numFmtId="260" fontId="85" fillId="0" borderId="17" xfId="0" applyNumberFormat="1" applyFont="1" applyFill="1" applyBorder="1" applyAlignment="1">
      <alignment horizontal="center" vertical="top" wrapText="1"/>
    </xf>
    <xf numFmtId="260" fontId="34" fillId="0" borderId="17" xfId="0" applyNumberFormat="1" applyFont="1" applyFill="1" applyBorder="1" applyAlignment="1">
      <alignment horizontal="center" vertical="top" wrapText="1"/>
    </xf>
    <xf numFmtId="260" fontId="85" fillId="61" borderId="17" xfId="0" applyNumberFormat="1" applyFont="1" applyFill="1" applyBorder="1" applyAlignment="1">
      <alignment horizontal="center" vertical="top" wrapText="1"/>
    </xf>
    <xf numFmtId="260" fontId="34" fillId="61" borderId="17" xfId="0" applyNumberFormat="1" applyFont="1" applyFill="1" applyBorder="1" applyAlignment="1">
      <alignment horizontal="center" vertical="top" wrapText="1"/>
    </xf>
    <xf numFmtId="261" fontId="35" fillId="61" borderId="19" xfId="0" applyNumberFormat="1" applyFont="1" applyFill="1" applyBorder="1" applyAlignment="1">
      <alignment horizontal="center" vertical="top" wrapText="1"/>
    </xf>
    <xf numFmtId="217" fontId="37" fillId="0" borderId="17" xfId="0" applyNumberFormat="1" applyFont="1" applyFill="1" applyBorder="1" applyAlignment="1">
      <alignment horizontal="center" vertical="top" wrapText="1"/>
    </xf>
    <xf numFmtId="179" fontId="87" fillId="78" borderId="17" xfId="0" applyNumberFormat="1" applyFont="1" applyFill="1" applyBorder="1" applyAlignment="1">
      <alignment horizontal="center" vertical="top" wrapText="1"/>
    </xf>
    <xf numFmtId="169" fontId="35" fillId="78" borderId="19" xfId="0" applyNumberFormat="1" applyFont="1" applyFill="1" applyBorder="1" applyAlignment="1">
      <alignment horizontal="center" vertical="top" wrapText="1"/>
    </xf>
    <xf numFmtId="169" fontId="35" fillId="65" borderId="17" xfId="0" applyNumberFormat="1" applyFont="1" applyFill="1" applyBorder="1" applyAlignment="1">
      <alignment horizontal="center" vertical="top" wrapText="1"/>
    </xf>
    <xf numFmtId="179" fontId="37" fillId="65" borderId="17" xfId="0" applyNumberFormat="1" applyFont="1" applyFill="1" applyBorder="1" applyAlignment="1">
      <alignment horizontal="center" vertical="top" wrapText="1"/>
    </xf>
    <xf numFmtId="182" fontId="35" fillId="65" borderId="19" xfId="0" applyNumberFormat="1" applyFont="1" applyFill="1" applyBorder="1" applyAlignment="1">
      <alignment horizontal="center" vertical="top" wrapText="1"/>
    </xf>
    <xf numFmtId="172" fontId="37" fillId="65" borderId="17" xfId="0" applyNumberFormat="1" applyFont="1" applyFill="1" applyBorder="1" applyAlignment="1">
      <alignment horizontal="center" vertical="top" wrapText="1"/>
    </xf>
    <xf numFmtId="262" fontId="85" fillId="78" borderId="17" xfId="0" applyNumberFormat="1" applyFont="1" applyFill="1" applyBorder="1" applyAlignment="1">
      <alignment horizontal="center" vertical="top" wrapText="1"/>
    </xf>
    <xf numFmtId="280" fontId="35" fillId="78" borderId="19" xfId="0" applyNumberFormat="1" applyFont="1" applyFill="1" applyBorder="1" applyAlignment="1">
      <alignment horizontal="center" vertical="top" wrapText="1"/>
    </xf>
    <xf numFmtId="281" fontId="37" fillId="0" borderId="17" xfId="0" applyNumberFormat="1" applyFont="1" applyFill="1" applyBorder="1" applyAlignment="1">
      <alignment horizontal="center" vertical="top" wrapText="1"/>
    </xf>
    <xf numFmtId="220" fontId="35" fillId="78" borderId="17" xfId="0" applyNumberFormat="1" applyFont="1" applyFill="1" applyBorder="1" applyAlignment="1">
      <alignment horizontal="center" vertical="top" wrapText="1"/>
    </xf>
    <xf numFmtId="263" fontId="85" fillId="78" borderId="17" xfId="0" applyNumberFormat="1" applyFont="1" applyFill="1" applyBorder="1" applyAlignment="1">
      <alignment horizontal="center" vertical="top" wrapText="1"/>
    </xf>
    <xf numFmtId="263" fontId="34" fillId="78" borderId="17" xfId="0" applyNumberFormat="1" applyFont="1" applyFill="1" applyBorder="1" applyAlignment="1">
      <alignment horizontal="center" vertical="top" wrapText="1"/>
    </xf>
    <xf numFmtId="269" fontId="35" fillId="78" borderId="19" xfId="0" applyNumberFormat="1" applyFont="1" applyFill="1" applyBorder="1" applyAlignment="1">
      <alignment horizontal="center" vertical="top" wrapText="1"/>
    </xf>
    <xf numFmtId="221" fontId="37" fillId="0" borderId="17" xfId="0" applyNumberFormat="1" applyFont="1" applyFill="1" applyBorder="1" applyAlignment="1">
      <alignment horizontal="center" vertical="top" wrapText="1"/>
    </xf>
    <xf numFmtId="215" fontId="35" fillId="78" borderId="17" xfId="0" applyNumberFormat="1" applyFont="1" applyFill="1" applyBorder="1" applyAlignment="1">
      <alignment horizontal="center" vertical="top" wrapText="1"/>
    </xf>
    <xf numFmtId="208" fontId="37" fillId="78" borderId="17" xfId="0" applyNumberFormat="1" applyFont="1" applyFill="1" applyBorder="1" applyAlignment="1">
      <alignment horizontal="center" vertical="top" wrapText="1"/>
    </xf>
    <xf numFmtId="222" fontId="35" fillId="78" borderId="17" xfId="0" applyNumberFormat="1" applyFont="1" applyFill="1" applyBorder="1" applyAlignment="1">
      <alignment horizontal="center" vertical="top" wrapText="1"/>
    </xf>
    <xf numFmtId="188" fontId="37" fillId="78" borderId="17" xfId="0" applyNumberFormat="1" applyFont="1" applyFill="1" applyBorder="1" applyAlignment="1">
      <alignment horizontal="center" vertical="top" wrapText="1"/>
    </xf>
    <xf numFmtId="224" fontId="37" fillId="0" borderId="17" xfId="0" applyNumberFormat="1" applyFont="1" applyFill="1" applyBorder="1" applyAlignment="1">
      <alignment horizontal="center" vertical="top" wrapText="1"/>
    </xf>
    <xf numFmtId="172" fontId="87" fillId="78" borderId="17" xfId="0" applyNumberFormat="1" applyFont="1" applyFill="1" applyBorder="1" applyAlignment="1">
      <alignment horizontal="center" vertical="top" wrapText="1"/>
    </xf>
    <xf numFmtId="247" fontId="37" fillId="0" borderId="17" xfId="0" applyNumberFormat="1" applyFont="1" applyFill="1" applyBorder="1" applyAlignment="1">
      <alignment horizontal="center" vertical="top" wrapText="1"/>
    </xf>
    <xf numFmtId="262" fontId="34" fillId="78" borderId="17" xfId="0" applyNumberFormat="1" applyFont="1" applyFill="1" applyBorder="1" applyAlignment="1">
      <alignment horizontal="center" vertical="top" wrapText="1"/>
    </xf>
    <xf numFmtId="192" fontId="37" fillId="0" borderId="17" xfId="0" applyNumberFormat="1" applyFont="1" applyFill="1" applyBorder="1" applyAlignment="1">
      <alignment horizontal="center" vertical="top" wrapText="1"/>
    </xf>
    <xf numFmtId="170" fontId="35" fillId="78" borderId="19" xfId="0" applyNumberFormat="1" applyFont="1" applyFill="1" applyBorder="1" applyAlignment="1">
      <alignment horizontal="center" vertical="top" wrapText="1"/>
    </xf>
    <xf numFmtId="225" fontId="37" fillId="0" borderId="17" xfId="0" applyNumberFormat="1" applyFont="1" applyFill="1" applyBorder="1" applyAlignment="1">
      <alignment horizontal="center" vertical="top" wrapText="1"/>
    </xf>
    <xf numFmtId="226" fontId="35" fillId="78" borderId="17" xfId="0" applyNumberFormat="1" applyFont="1" applyFill="1" applyBorder="1" applyAlignment="1">
      <alignment horizontal="center" vertical="top" wrapText="1"/>
    </xf>
    <xf numFmtId="282" fontId="35" fillId="78" borderId="17" xfId="0" applyNumberFormat="1" applyFont="1" applyFill="1" applyBorder="1" applyAlignment="1">
      <alignment horizontal="center" vertical="top" wrapText="1"/>
    </xf>
    <xf numFmtId="270" fontId="37" fillId="78" borderId="17" xfId="0" applyNumberFormat="1" applyFont="1" applyFill="1" applyBorder="1" applyAlignment="1">
      <alignment horizontal="center" vertical="top" wrapText="1"/>
    </xf>
    <xf numFmtId="282" fontId="35" fillId="0" borderId="17" xfId="0" applyNumberFormat="1" applyFont="1" applyFill="1" applyBorder="1" applyAlignment="1">
      <alignment horizontal="center" vertical="top" wrapText="1"/>
    </xf>
    <xf numFmtId="270" fontId="37" fillId="0" borderId="17" xfId="0" applyNumberFormat="1" applyFont="1" applyFill="1" applyBorder="1" applyAlignment="1">
      <alignment horizontal="center" vertical="top" wrapText="1"/>
    </xf>
    <xf numFmtId="283" fontId="35" fillId="65" borderId="17" xfId="0" applyNumberFormat="1" applyFont="1" applyFill="1" applyBorder="1" applyAlignment="1">
      <alignment horizontal="center" vertical="top" wrapText="1"/>
    </xf>
    <xf numFmtId="264" fontId="37" fillId="65" borderId="17" xfId="0" applyNumberFormat="1" applyFont="1" applyFill="1" applyBorder="1" applyAlignment="1">
      <alignment horizontal="center" vertical="top" wrapText="1"/>
    </xf>
    <xf numFmtId="283" fontId="35" fillId="0" borderId="17" xfId="0" applyNumberFormat="1" applyFont="1" applyFill="1" applyBorder="1" applyAlignment="1">
      <alignment horizontal="center" vertical="top" wrapText="1"/>
    </xf>
    <xf numFmtId="264" fontId="37" fillId="0" borderId="17" xfId="0" applyNumberFormat="1" applyFont="1" applyFill="1" applyBorder="1" applyAlignment="1">
      <alignment horizontal="center" vertical="top" wrapText="1"/>
    </xf>
    <xf numFmtId="229" fontId="35" fillId="78" borderId="17" xfId="0" applyNumberFormat="1" applyFont="1" applyFill="1" applyBorder="1" applyAlignment="1">
      <alignment horizontal="center" vertical="top" wrapText="1"/>
    </xf>
    <xf numFmtId="224" fontId="37" fillId="78" borderId="17" xfId="0" applyNumberFormat="1" applyFont="1" applyFill="1" applyBorder="1" applyAlignment="1">
      <alignment horizontal="center" vertical="top" wrapText="1"/>
    </xf>
    <xf numFmtId="230" fontId="35" fillId="65" borderId="17" xfId="0" applyNumberFormat="1" applyFont="1" applyFill="1" applyBorder="1" applyAlignment="1">
      <alignment horizontal="center" vertical="top" wrapText="1"/>
    </xf>
    <xf numFmtId="265" fontId="37" fillId="65" borderId="17" xfId="0" applyNumberFormat="1" applyFont="1" applyFill="1" applyBorder="1" applyAlignment="1">
      <alignment horizontal="center" vertical="top" wrapText="1"/>
    </xf>
    <xf numFmtId="265" fontId="37" fillId="0" borderId="17" xfId="0" applyNumberFormat="1" applyFont="1" applyFill="1" applyBorder="1" applyAlignment="1">
      <alignment horizontal="center" vertical="top" wrapText="1"/>
    </xf>
    <xf numFmtId="211" fontId="37" fillId="0" borderId="17" xfId="0" applyNumberFormat="1" applyFont="1" applyFill="1" applyBorder="1" applyAlignment="1">
      <alignment horizontal="center" vertical="top" wrapText="1"/>
    </xf>
    <xf numFmtId="249" fontId="35" fillId="78" borderId="17" xfId="0" applyNumberFormat="1" applyFont="1" applyFill="1" applyBorder="1" applyAlignment="1">
      <alignment horizontal="center" vertical="top" wrapText="1"/>
    </xf>
    <xf numFmtId="218" fontId="35" fillId="65" borderId="17" xfId="0" applyNumberFormat="1" applyFont="1" applyFill="1" applyBorder="1" applyAlignment="1">
      <alignment horizontal="center" vertical="top" wrapText="1"/>
    </xf>
    <xf numFmtId="0" fontId="35" fillId="78" borderId="17" xfId="0" applyFont="1" applyFill="1" applyBorder="1" applyAlignment="1">
      <alignment horizontal="center" vertical="top" wrapText="1"/>
    </xf>
    <xf numFmtId="190" fontId="35" fillId="78" borderId="19" xfId="0" applyNumberFormat="1" applyFont="1" applyFill="1" applyBorder="1" applyAlignment="1">
      <alignment horizontal="center" vertical="top" wrapText="1"/>
    </xf>
    <xf numFmtId="0" fontId="35" fillId="79" borderId="17" xfId="0" applyFont="1" applyFill="1" applyBorder="1" applyAlignment="1">
      <alignment horizontal="center" vertical="top" wrapText="1"/>
    </xf>
    <xf numFmtId="0" fontId="35" fillId="65" borderId="17" xfId="0" applyFont="1" applyFill="1" applyBorder="1" applyAlignment="1">
      <alignment horizontal="center" vertical="top" wrapText="1"/>
    </xf>
    <xf numFmtId="170" fontId="35" fillId="65" borderId="19" xfId="0" applyNumberFormat="1" applyFont="1" applyFill="1" applyBorder="1" applyAlignment="1">
      <alignment horizontal="center" vertical="top" wrapText="1"/>
    </xf>
    <xf numFmtId="170" fontId="35" fillId="79" borderId="19" xfId="0" applyNumberFormat="1" applyFont="1" applyFill="1" applyBorder="1" applyAlignment="1">
      <alignment horizontal="center" vertical="top" wrapText="1"/>
    </xf>
    <xf numFmtId="0" fontId="35" fillId="61" borderId="17" xfId="0" applyFont="1" applyFill="1" applyBorder="1" applyAlignment="1">
      <alignment horizontal="center" vertical="top" wrapText="1"/>
    </xf>
    <xf numFmtId="170" fontId="35" fillId="61" borderId="19" xfId="0" applyNumberFormat="1" applyFont="1" applyFill="1" applyBorder="1" applyAlignment="1">
      <alignment horizontal="center" vertical="top" wrapText="1"/>
    </xf>
    <xf numFmtId="190" fontId="35" fillId="65" borderId="19" xfId="0" applyNumberFormat="1" applyFont="1" applyFill="1" applyBorder="1" applyAlignment="1">
      <alignment horizontal="center" vertical="top" wrapText="1"/>
    </xf>
    <xf numFmtId="0" fontId="35" fillId="80" borderId="17" xfId="0" applyFont="1" applyFill="1" applyBorder="1" applyAlignment="1">
      <alignment horizontal="center" vertical="top" wrapText="1"/>
    </xf>
    <xf numFmtId="284" fontId="35" fillId="78" borderId="19" xfId="47" applyNumberFormat="1" applyFont="1" applyFill="1" applyBorder="1" applyAlignment="1">
      <alignment horizontal="center" vertical="top" wrapText="1"/>
    </xf>
    <xf numFmtId="266" fontId="35" fillId="65" borderId="19" xfId="0" applyNumberFormat="1" applyFont="1" applyFill="1" applyBorder="1" applyAlignment="1">
      <alignment horizontal="center" vertical="top" wrapText="1"/>
    </xf>
    <xf numFmtId="232" fontId="35" fillId="77" borderId="19" xfId="0" applyNumberFormat="1" applyFont="1" applyFill="1" applyBorder="1" applyAlignment="1">
      <alignment horizontal="center" vertical="top" wrapText="1"/>
    </xf>
    <xf numFmtId="232" fontId="35" fillId="78" borderId="19" xfId="0" applyNumberFormat="1" applyFont="1" applyFill="1" applyBorder="1" applyAlignment="1">
      <alignment horizontal="center" vertical="top" wrapText="1"/>
    </xf>
    <xf numFmtId="232" fontId="35" fillId="79" borderId="19" xfId="0" applyNumberFormat="1" applyFont="1" applyFill="1" applyBorder="1" applyAlignment="1">
      <alignment horizontal="center" vertical="top" wrapText="1"/>
    </xf>
    <xf numFmtId="232" fontId="35" fillId="65" borderId="19" xfId="0" applyNumberFormat="1" applyFont="1" applyFill="1" applyBorder="1" applyAlignment="1">
      <alignment horizontal="center" vertical="top" wrapText="1"/>
    </xf>
    <xf numFmtId="232" fontId="35" fillId="61" borderId="19" xfId="0" applyNumberFormat="1" applyFont="1" applyFill="1" applyBorder="1" applyAlignment="1">
      <alignment horizontal="center" vertical="top" wrapText="1"/>
    </xf>
    <xf numFmtId="232" fontId="35" fillId="80" borderId="19" xfId="0" applyNumberFormat="1" applyFont="1" applyFill="1" applyBorder="1" applyAlignment="1">
      <alignment horizontal="center" vertical="top" wrapText="1"/>
    </xf>
    <xf numFmtId="2" fontId="156" fillId="0" borderId="0" xfId="0" applyNumberFormat="1" applyFont="1" applyFill="1" applyBorder="1" applyAlignment="1">
      <alignment horizontal="center" vertical="top" wrapText="1"/>
    </xf>
    <xf numFmtId="2" fontId="156" fillId="67" borderId="0" xfId="0" applyNumberFormat="1" applyFont="1" applyFill="1" applyBorder="1" applyAlignment="1">
      <alignment horizontal="center" vertical="top" wrapText="1"/>
    </xf>
    <xf numFmtId="2" fontId="35" fillId="75" borderId="0" xfId="0" applyNumberFormat="1" applyFont="1" applyFill="1" applyBorder="1" applyAlignment="1">
      <alignment horizontal="center" vertical="top" wrapText="1"/>
    </xf>
    <xf numFmtId="0" fontId="35" fillId="75" borderId="17" xfId="0" applyFont="1" applyFill="1" applyBorder="1" applyAlignment="1">
      <alignment horizontal="center" vertical="top" wrapText="1"/>
    </xf>
    <xf numFmtId="2" fontId="35" fillId="81" borderId="0" xfId="0" applyNumberFormat="1" applyFont="1" applyFill="1" applyBorder="1" applyAlignment="1">
      <alignment horizontal="center" vertical="top" wrapText="1"/>
    </xf>
    <xf numFmtId="0" fontId="35" fillId="81" borderId="17" xfId="0" applyFont="1" applyFill="1" applyBorder="1" applyAlignment="1">
      <alignment horizontal="center" vertical="top" wrapText="1"/>
    </xf>
    <xf numFmtId="2" fontId="156" fillId="67" borderId="19" xfId="0" applyNumberFormat="1" applyFont="1" applyFill="1" applyBorder="1" applyAlignment="1">
      <alignment horizontal="center" vertical="top" wrapText="1"/>
    </xf>
    <xf numFmtId="168" fontId="37" fillId="77" borderId="0" xfId="0" applyNumberFormat="1" applyFont="1" applyFill="1" applyBorder="1" applyAlignment="1">
      <alignment horizontal="center" vertical="top" wrapText="1"/>
    </xf>
    <xf numFmtId="168" fontId="37" fillId="0" borderId="0" xfId="0" applyNumberFormat="1" applyFont="1" applyFill="1" applyBorder="1" applyAlignment="1">
      <alignment horizontal="center" vertical="top" wrapText="1"/>
    </xf>
    <xf numFmtId="168" fontId="37" fillId="78" borderId="0" xfId="0" applyNumberFormat="1" applyFont="1" applyFill="1" applyBorder="1" applyAlignment="1">
      <alignment horizontal="center" vertical="top" wrapText="1"/>
    </xf>
    <xf numFmtId="168" fontId="37" fillId="0" borderId="19" xfId="0" applyNumberFormat="1" applyFont="1" applyFill="1" applyBorder="1" applyAlignment="1">
      <alignment horizontal="center" vertical="top" wrapText="1"/>
    </xf>
    <xf numFmtId="168" fontId="37" fillId="79" borderId="0" xfId="0" applyNumberFormat="1" applyFont="1" applyFill="1" applyBorder="1" applyAlignment="1">
      <alignment horizontal="center" vertical="top" wrapText="1"/>
    </xf>
    <xf numFmtId="168" fontId="37" fillId="65" borderId="0" xfId="0" applyNumberFormat="1" applyFont="1" applyFill="1" applyBorder="1" applyAlignment="1">
      <alignment horizontal="center" vertical="top" wrapText="1"/>
    </xf>
    <xf numFmtId="168" fontId="37" fillId="61" borderId="0" xfId="0" applyNumberFormat="1" applyFont="1" applyFill="1" applyBorder="1" applyAlignment="1">
      <alignment horizontal="center" vertical="top" wrapText="1"/>
    </xf>
    <xf numFmtId="168" fontId="37" fillId="80" borderId="0" xfId="0" applyNumberFormat="1" applyFont="1" applyFill="1" applyBorder="1" applyAlignment="1">
      <alignment horizontal="center" vertical="top" wrapText="1"/>
    </xf>
    <xf numFmtId="172" fontId="34" fillId="0" borderId="19" xfId="0" applyNumberFormat="1" applyFont="1" applyFill="1" applyBorder="1" applyAlignment="1">
      <alignment horizontal="center" vertical="top" wrapText="1"/>
    </xf>
    <xf numFmtId="166" fontId="34" fillId="0" borderId="19" xfId="0" applyNumberFormat="1" applyFont="1" applyFill="1" applyBorder="1" applyAlignment="1">
      <alignment horizontal="center" vertical="top" wrapText="1"/>
    </xf>
    <xf numFmtId="185" fontId="34" fillId="0" borderId="19" xfId="0" applyNumberFormat="1" applyFont="1" applyFill="1" applyBorder="1" applyAlignment="1">
      <alignment horizontal="center" vertical="top" wrapText="1"/>
    </xf>
    <xf numFmtId="271" fontId="34" fillId="78" borderId="17" xfId="0" applyNumberFormat="1" applyFont="1" applyFill="1" applyBorder="1" applyAlignment="1">
      <alignment horizontal="center" vertical="top" wrapText="1"/>
    </xf>
    <xf numFmtId="208" fontId="148" fillId="75" borderId="19" xfId="0" applyNumberFormat="1" applyFont="1" applyFill="1" applyBorder="1" applyAlignment="1">
      <alignment horizontal="center" vertical="top" wrapText="1"/>
    </xf>
    <xf numFmtId="2" fontId="149" fillId="75" borderId="17" xfId="0" applyNumberFormat="1" applyFont="1" applyFill="1" applyBorder="1" applyAlignment="1">
      <alignment horizontal="center" vertical="top"/>
    </xf>
    <xf numFmtId="208" fontId="149" fillId="75" borderId="17" xfId="0" applyNumberFormat="1" applyFont="1" applyFill="1" applyBorder="1" applyAlignment="1">
      <alignment horizontal="center" vertical="top"/>
    </xf>
    <xf numFmtId="172" fontId="148" fillId="75" borderId="19" xfId="0" applyNumberFormat="1" applyFont="1" applyFill="1" applyBorder="1" applyAlignment="1">
      <alignment horizontal="center" vertical="top" wrapText="1"/>
    </xf>
    <xf numFmtId="257" fontId="148" fillId="81" borderId="19" xfId="0" applyNumberFormat="1" applyFont="1" applyFill="1" applyBorder="1" applyAlignment="1">
      <alignment horizontal="center" vertical="top" wrapText="1"/>
    </xf>
    <xf numFmtId="2" fontId="149" fillId="81" borderId="17" xfId="0" applyNumberFormat="1" applyFont="1" applyFill="1" applyBorder="1" applyAlignment="1">
      <alignment horizontal="center" vertical="top"/>
    </xf>
    <xf numFmtId="181" fontId="149" fillId="81" borderId="17" xfId="0" applyNumberFormat="1" applyFont="1" applyFill="1" applyBorder="1" applyAlignment="1">
      <alignment horizontal="center" vertical="top"/>
    </xf>
    <xf numFmtId="255" fontId="148" fillId="75" borderId="19" xfId="0" applyNumberFormat="1" applyFont="1" applyFill="1" applyBorder="1" applyAlignment="1">
      <alignment horizontal="center" vertical="top" wrapText="1"/>
    </xf>
    <xf numFmtId="201" fontId="149" fillId="75" borderId="17" xfId="0" applyNumberFormat="1" applyFont="1" applyFill="1" applyBorder="1" applyAlignment="1">
      <alignment horizontal="center" vertical="top"/>
    </xf>
    <xf numFmtId="0" fontId="149" fillId="75" borderId="0" xfId="0" applyFont="1" applyFill="1" applyBorder="1" applyAlignment="1">
      <alignment vertical="top"/>
    </xf>
    <xf numFmtId="169" fontId="149" fillId="75" borderId="0" xfId="0" applyNumberFormat="1" applyFont="1" applyFill="1" applyBorder="1" applyAlignment="1">
      <alignment horizontal="center" vertical="top"/>
    </xf>
    <xf numFmtId="0" fontId="149" fillId="81" borderId="0" xfId="0" applyFont="1" applyFill="1" applyBorder="1" applyAlignment="1">
      <alignment vertical="top"/>
    </xf>
    <xf numFmtId="1" fontId="146" fillId="75" borderId="0" xfId="0" applyNumberFormat="1" applyFont="1" applyFill="1" applyBorder="1" applyAlignment="1">
      <alignment horizontal="center" vertical="top"/>
    </xf>
    <xf numFmtId="1" fontId="146" fillId="81" borderId="0" xfId="0" applyNumberFormat="1" applyFont="1" applyFill="1" applyBorder="1" applyAlignment="1">
      <alignment horizontal="center" vertical="top"/>
    </xf>
    <xf numFmtId="0" fontId="146" fillId="75" borderId="0" xfId="0" applyFont="1" applyFill="1" applyBorder="1" applyAlignment="1">
      <alignment vertical="top" wrapText="1"/>
    </xf>
    <xf numFmtId="0" fontId="146" fillId="81" borderId="0" xfId="0" applyFont="1" applyFill="1" applyBorder="1" applyAlignment="1">
      <alignment vertical="top" wrapText="1"/>
    </xf>
    <xf numFmtId="2" fontId="135" fillId="73" borderId="0" xfId="0" applyNumberFormat="1" applyFont="1" applyFill="1" applyBorder="1" applyAlignment="1">
      <alignment horizontal="center"/>
    </xf>
    <xf numFmtId="0" fontId="0" fillId="0" borderId="0" xfId="0" applyFont="1" applyFill="1" applyBorder="1" applyAlignment="1">
      <alignment/>
    </xf>
    <xf numFmtId="2" fontId="0" fillId="82" borderId="0" xfId="0" applyNumberFormat="1" applyFont="1" applyFill="1" applyBorder="1" applyAlignment="1">
      <alignment horizontal="center"/>
    </xf>
    <xf numFmtId="0" fontId="37" fillId="48" borderId="17" xfId="0" applyFont="1" applyFill="1" applyBorder="1" applyAlignment="1">
      <alignment horizontal="center" vertical="top" wrapText="1"/>
    </xf>
    <xf numFmtId="0" fontId="35" fillId="0" borderId="0" xfId="0" applyFont="1" applyBorder="1" applyAlignment="1">
      <alignment horizontal="center" vertical="top" wrapText="1"/>
    </xf>
    <xf numFmtId="0" fontId="35" fillId="0" borderId="18" xfId="0" applyFont="1" applyBorder="1" applyAlignment="1">
      <alignment horizontal="center" vertical="top" wrapText="1"/>
    </xf>
    <xf numFmtId="0" fontId="35" fillId="0" borderId="17" xfId="0" applyFont="1" applyBorder="1" applyAlignment="1">
      <alignment horizontal="center" vertical="top" wrapText="1"/>
    </xf>
    <xf numFmtId="0" fontId="34" fillId="34" borderId="17" xfId="0" applyFont="1" applyFill="1" applyBorder="1" applyAlignment="1">
      <alignment horizontal="center" vertical="top"/>
    </xf>
    <xf numFmtId="0" fontId="35" fillId="0" borderId="18" xfId="0" applyFont="1" applyBorder="1" applyAlignment="1">
      <alignment horizontal="center" vertical="top"/>
    </xf>
    <xf numFmtId="0" fontId="35" fillId="34" borderId="19" xfId="0" applyFont="1" applyFill="1" applyBorder="1" applyAlignment="1">
      <alignment horizontal="left" vertical="top"/>
    </xf>
    <xf numFmtId="0" fontId="35" fillId="0" borderId="19" xfId="0" applyFont="1" applyBorder="1" applyAlignment="1">
      <alignment vertical="top"/>
    </xf>
    <xf numFmtId="0" fontId="76" fillId="48" borderId="17" xfId="0" applyFont="1" applyFill="1" applyBorder="1" applyAlignment="1">
      <alignment horizontal="center" vertical="top" wrapText="1"/>
    </xf>
    <xf numFmtId="0" fontId="76" fillId="48" borderId="18" xfId="0" applyFont="1" applyFill="1" applyBorder="1" applyAlignment="1">
      <alignment horizontal="center" vertical="top" wrapText="1"/>
    </xf>
    <xf numFmtId="0" fontId="35" fillId="48" borderId="17" xfId="0" applyFont="1" applyFill="1" applyBorder="1" applyAlignment="1">
      <alignment horizontal="center" vertical="top" wrapText="1"/>
    </xf>
    <xf numFmtId="0" fontId="40" fillId="48"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3125"/>
          <c:w val="0.634"/>
          <c:h val="0.8432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31756966"/>
        <c:axId val="17377239"/>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31756966"/>
        <c:axId val="17377239"/>
      </c:lineChart>
      <c:catAx>
        <c:axId val="3175696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17377239"/>
        <c:crosses val="autoZero"/>
        <c:auto val="1"/>
        <c:lblOffset val="100"/>
        <c:tickLblSkip val="1"/>
        <c:noMultiLvlLbl val="0"/>
      </c:catAx>
      <c:valAx>
        <c:axId val="17377239"/>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275"/>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756966"/>
        <c:crossesAt val="1"/>
        <c:crossBetween val="midCat"/>
        <c:dispUnits/>
      </c:valAx>
      <c:spPr>
        <a:noFill/>
        <a:ln w="3175">
          <a:solidFill>
            <a:srgbClr val="000000"/>
          </a:solidFill>
        </a:ln>
      </c:spPr>
    </c:plotArea>
    <c:legend>
      <c:legendPos val="r"/>
      <c:layout>
        <c:manualLayout>
          <c:xMode val="edge"/>
          <c:yMode val="edge"/>
          <c:x val="0.7515"/>
          <c:y val="0.27"/>
          <c:w val="0.229"/>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3125"/>
          <c:w val="0.62475"/>
          <c:h val="0.843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22177424"/>
        <c:axId val="65379089"/>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22177424"/>
        <c:axId val="65379089"/>
      </c:lineChart>
      <c:catAx>
        <c:axId val="2217742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65379089"/>
        <c:crosses val="autoZero"/>
        <c:auto val="1"/>
        <c:lblOffset val="100"/>
        <c:tickLblSkip val="1"/>
        <c:noMultiLvlLbl val="0"/>
      </c:catAx>
      <c:valAx>
        <c:axId val="65379089"/>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4"/>
              <c:y val="-0.003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177424"/>
        <c:crossesAt val="1"/>
        <c:crossBetween val="midCat"/>
        <c:dispUnits/>
      </c:valAx>
      <c:spPr>
        <a:noFill/>
        <a:ln w="3175">
          <a:solidFill>
            <a:srgbClr val="000000"/>
          </a:solidFill>
        </a:ln>
      </c:spPr>
    </c:plotArea>
    <c:legend>
      <c:legendPos val="r"/>
      <c:layout>
        <c:manualLayout>
          <c:xMode val="edge"/>
          <c:yMode val="edge"/>
          <c:x val="0.7455"/>
          <c:y val="0.27"/>
          <c:w val="0.23825"/>
          <c:h val="0.225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505"/>
          <c:w val="0.716"/>
          <c:h val="0.77675"/>
        </c:manualLayout>
      </c:layout>
      <c:areaChart>
        <c:grouping val="stacked"/>
        <c:varyColors val="0"/>
        <c:ser>
          <c:idx val="1"/>
          <c:order val="0"/>
          <c:tx>
            <c:strRef>
              <c:f>'Acheter ou louer'!$B$24</c:f>
              <c:strCache>
                <c:ptCount val="1"/>
                <c:pt idx="0">
                  <c:v>Coûts fixes </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louer'!$C$24:$I$24</c:f>
              <c:numCache/>
            </c:numRef>
          </c:val>
        </c:ser>
        <c:ser>
          <c:idx val="0"/>
          <c:order val="1"/>
          <c:tx>
            <c:strRef>
              <c:f>'Acheter ou louer'!$B$25</c:f>
              <c:strCache>
                <c:ptCount val="1"/>
                <c:pt idx="0">
                  <c:v>Coûts variables </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louer'!$C$25:$I$25</c:f>
              <c:numCache/>
            </c:numRef>
          </c:val>
        </c:ser>
        <c:axId val="51540890"/>
        <c:axId val="61214827"/>
      </c:areaChart>
      <c:lineChart>
        <c:grouping val="standard"/>
        <c:varyColors val="0"/>
        <c:ser>
          <c:idx val="3"/>
          <c:order val="2"/>
          <c:tx>
            <c:strRef>
              <c:f>'Acheter ou louer'!$B$26</c:f>
              <c:strCache>
                <c:ptCount val="1"/>
                <c:pt idx="0">
                  <c:v>Tarif externe /an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louer'!$C$26:$I$26</c:f>
              <c:numCache/>
            </c:numRef>
          </c:val>
          <c:smooth val="0"/>
        </c:ser>
        <c:axId val="51540890"/>
        <c:axId val="61214827"/>
      </c:lineChart>
      <c:catAx>
        <c:axId val="5154089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1214827"/>
        <c:crosses val="autoZero"/>
        <c:auto val="1"/>
        <c:lblOffset val="100"/>
        <c:tickLblSkip val="1"/>
        <c:noMultiLvlLbl val="0"/>
      </c:catAx>
      <c:valAx>
        <c:axId val="6121482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annuels (Fr.)</a:t>
                </a:r>
              </a:p>
            </c:rich>
          </c:tx>
          <c:layout>
            <c:manualLayout>
              <c:xMode val="factor"/>
              <c:yMode val="factor"/>
              <c:x val="-0.0145"/>
              <c:y val="-0.023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1540890"/>
        <c:crossesAt val="1"/>
        <c:crossBetween val="midCat"/>
        <c:dispUnits/>
      </c:valAx>
      <c:spPr>
        <a:noFill/>
        <a:ln w="3175">
          <a:solidFill>
            <a:srgbClr val="000000"/>
          </a:solidFill>
        </a:ln>
      </c:spPr>
    </c:plotArea>
    <c:legend>
      <c:legendPos val="r"/>
      <c:layout>
        <c:manualLayout>
          <c:xMode val="edge"/>
          <c:yMode val="edge"/>
          <c:x val="0.76425"/>
          <c:y val="0.2835"/>
          <c:w val="0.16675"/>
          <c:h val="0.152"/>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05"/>
          <c:w val="0.72125"/>
          <c:h val="0.777"/>
        </c:manualLayout>
      </c:layout>
      <c:areaChart>
        <c:grouping val="stacked"/>
        <c:varyColors val="0"/>
        <c:ser>
          <c:idx val="1"/>
          <c:order val="0"/>
          <c:tx>
            <c:strRef>
              <c:f>'Acheter ou louer'!$B$65</c:f>
              <c:strCache>
                <c:ptCount val="1"/>
                <c:pt idx="0">
                  <c:v>Coûts fixes/UT</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louer'!$C$65:$I$65</c:f>
              <c:numCache/>
            </c:numRef>
          </c:val>
        </c:ser>
        <c:ser>
          <c:idx val="0"/>
          <c:order val="1"/>
          <c:tx>
            <c:strRef>
              <c:f>'Acheter ou louer'!$B$66</c:f>
              <c:strCache>
                <c:ptCount val="1"/>
                <c:pt idx="0">
                  <c:v>Coûts variables/UT</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'Acheter ou louer'!$C$23:$I$23</c:f>
              <c:numCache/>
            </c:numRef>
          </c:cat>
          <c:val>
            <c:numRef>
              <c:f>'Acheter ou louer'!$C$66:$I$66</c:f>
              <c:numCache/>
            </c:numRef>
          </c:val>
        </c:ser>
        <c:axId val="14062532"/>
        <c:axId val="59453925"/>
      </c:areaChart>
      <c:lineChart>
        <c:grouping val="standard"/>
        <c:varyColors val="0"/>
        <c:ser>
          <c:idx val="3"/>
          <c:order val="2"/>
          <c:tx>
            <c:strRef>
              <c:f>'Acheter ou louer'!$B$67</c:f>
              <c:strCache>
                <c:ptCount val="1"/>
                <c:pt idx="0">
                  <c:v>Tarif externe (Fr./UT)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'Acheter ou louer'!$C$67:$I$67</c:f>
              <c:numCache/>
            </c:numRef>
          </c:val>
          <c:smooth val="0"/>
        </c:ser>
        <c:axId val="14062532"/>
        <c:axId val="59453925"/>
      </c:lineChart>
      <c:catAx>
        <c:axId val="1406253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nombre UT par année (utilisation annuelle)</a:t>
                </a:r>
              </a:p>
            </c:rich>
          </c:tx>
          <c:layout>
            <c:manualLayout>
              <c:xMode val="factor"/>
              <c:yMode val="factor"/>
              <c:x val="-0.02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9453925"/>
        <c:crosses val="autoZero"/>
        <c:auto val="1"/>
        <c:lblOffset val="100"/>
        <c:tickLblSkip val="1"/>
        <c:noMultiLvlLbl val="0"/>
      </c:catAx>
      <c:valAx>
        <c:axId val="5945392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C0ûts / UT  (Fr.)</a:t>
                </a:r>
              </a:p>
            </c:rich>
          </c:tx>
          <c:layout>
            <c:manualLayout>
              <c:xMode val="factor"/>
              <c:yMode val="factor"/>
              <c:x val="-0.014"/>
              <c:y val="-0.004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4062532"/>
        <c:crossesAt val="1"/>
        <c:crossBetween val="midCat"/>
        <c:dispUnits/>
      </c:valAx>
      <c:spPr>
        <a:noFill/>
        <a:ln w="3175">
          <a:solidFill>
            <a:srgbClr val="000000"/>
          </a:solidFill>
        </a:ln>
      </c:spPr>
    </c:plotArea>
    <c:legend>
      <c:legendPos val="r"/>
      <c:layout>
        <c:manualLayout>
          <c:xMode val="edge"/>
          <c:yMode val="edge"/>
          <c:x val="0.7645"/>
          <c:y val="0.28425"/>
          <c:w val="0.16775"/>
          <c:h val="0.26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15</xdr:row>
      <xdr:rowOff>123825</xdr:rowOff>
    </xdr:from>
    <xdr:to>
      <xdr:col>14</xdr:col>
      <xdr:colOff>9525</xdr:colOff>
      <xdr:row>19</xdr:row>
      <xdr:rowOff>104775</xdr:rowOff>
    </xdr:to>
    <xdr:sp>
      <xdr:nvSpPr>
        <xdr:cNvPr id="1" name="Textfeld 1"/>
        <xdr:cNvSpPr txBox="1">
          <a:spLocks noChangeArrowheads="1"/>
        </xdr:cNvSpPr>
      </xdr:nvSpPr>
      <xdr:spPr>
        <a:xfrm>
          <a:off x="6677025" y="3267075"/>
          <a:ext cx="53340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81</xdr:row>
      <xdr:rowOff>114300</xdr:rowOff>
    </xdr:from>
    <xdr:to>
      <xdr:col>6</xdr:col>
      <xdr:colOff>914400</xdr:colOff>
      <xdr:row>85</xdr:row>
      <xdr:rowOff>95250</xdr:rowOff>
    </xdr:to>
    <xdr:sp>
      <xdr:nvSpPr>
        <xdr:cNvPr id="2" name="Textfeld 1"/>
        <xdr:cNvSpPr txBox="1">
          <a:spLocks noChangeArrowheads="1"/>
        </xdr:cNvSpPr>
      </xdr:nvSpPr>
      <xdr:spPr>
        <a:xfrm>
          <a:off x="171450" y="13811250"/>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114300</xdr:rowOff>
    </xdr:from>
    <xdr:to>
      <xdr:col>7</xdr:col>
      <xdr:colOff>0</xdr:colOff>
      <xdr:row>145</xdr:row>
      <xdr:rowOff>104775</xdr:rowOff>
    </xdr:to>
    <xdr:sp>
      <xdr:nvSpPr>
        <xdr:cNvPr id="3" name="Textfeld 1"/>
        <xdr:cNvSpPr txBox="1">
          <a:spLocks noChangeArrowheads="1"/>
        </xdr:cNvSpPr>
      </xdr:nvSpPr>
      <xdr:spPr>
        <a:xfrm>
          <a:off x="161925" y="22936200"/>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201</xdr:row>
      <xdr:rowOff>85725</xdr:rowOff>
    </xdr:from>
    <xdr:to>
      <xdr:col>7</xdr:col>
      <xdr:colOff>9525</xdr:colOff>
      <xdr:row>205</xdr:row>
      <xdr:rowOff>66675</xdr:rowOff>
    </xdr:to>
    <xdr:sp>
      <xdr:nvSpPr>
        <xdr:cNvPr id="4" name="Textfeld 1"/>
        <xdr:cNvSpPr txBox="1">
          <a:spLocks noChangeArrowheads="1"/>
        </xdr:cNvSpPr>
      </xdr:nvSpPr>
      <xdr:spPr>
        <a:xfrm>
          <a:off x="171450" y="32032575"/>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81</xdr:row>
      <xdr:rowOff>123825</xdr:rowOff>
    </xdr:from>
    <xdr:to>
      <xdr:col>14</xdr:col>
      <xdr:colOff>19050</xdr:colOff>
      <xdr:row>85</xdr:row>
      <xdr:rowOff>104775</xdr:rowOff>
    </xdr:to>
    <xdr:sp>
      <xdr:nvSpPr>
        <xdr:cNvPr id="5" name="Textfeld 1"/>
        <xdr:cNvSpPr txBox="1">
          <a:spLocks noChangeArrowheads="1"/>
        </xdr:cNvSpPr>
      </xdr:nvSpPr>
      <xdr:spPr>
        <a:xfrm>
          <a:off x="6686550" y="13820775"/>
          <a:ext cx="53340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133350</xdr:rowOff>
    </xdr:from>
    <xdr:to>
      <xdr:col>14</xdr:col>
      <xdr:colOff>19050</xdr:colOff>
      <xdr:row>145</xdr:row>
      <xdr:rowOff>95250</xdr:rowOff>
    </xdr:to>
    <xdr:sp>
      <xdr:nvSpPr>
        <xdr:cNvPr id="6" name="Textfeld 1"/>
        <xdr:cNvSpPr txBox="1">
          <a:spLocks noChangeArrowheads="1"/>
        </xdr:cNvSpPr>
      </xdr:nvSpPr>
      <xdr:spPr>
        <a:xfrm>
          <a:off x="6686550" y="22955250"/>
          <a:ext cx="5334000"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7</xdr:col>
      <xdr:colOff>466725</xdr:colOff>
      <xdr:row>201</xdr:row>
      <xdr:rowOff>104775</xdr:rowOff>
    </xdr:from>
    <xdr:to>
      <xdr:col>13</xdr:col>
      <xdr:colOff>752475</xdr:colOff>
      <xdr:row>205</xdr:row>
      <xdr:rowOff>66675</xdr:rowOff>
    </xdr:to>
    <xdr:sp>
      <xdr:nvSpPr>
        <xdr:cNvPr id="7" name="Textfeld 1"/>
        <xdr:cNvSpPr txBox="1">
          <a:spLocks noChangeArrowheads="1"/>
        </xdr:cNvSpPr>
      </xdr:nvSpPr>
      <xdr:spPr>
        <a:xfrm>
          <a:off x="6667500" y="32051625"/>
          <a:ext cx="5324475" cy="60960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66675</xdr:rowOff>
    </xdr:from>
    <xdr:to>
      <xdr:col>6</xdr:col>
      <xdr:colOff>914400</xdr:colOff>
      <xdr:row>19</xdr:row>
      <xdr:rowOff>57150</xdr:rowOff>
    </xdr:to>
    <xdr:sp>
      <xdr:nvSpPr>
        <xdr:cNvPr id="8" name="Textfeld 1"/>
        <xdr:cNvSpPr txBox="1">
          <a:spLocks noChangeArrowheads="1"/>
        </xdr:cNvSpPr>
      </xdr:nvSpPr>
      <xdr:spPr>
        <a:xfrm>
          <a:off x="171450" y="3209925"/>
          <a:ext cx="601027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619125</xdr:colOff>
      <xdr:row>91</xdr:row>
      <xdr:rowOff>0</xdr:rowOff>
    </xdr:to>
    <xdr:sp>
      <xdr:nvSpPr>
        <xdr:cNvPr id="1" name="Textfeld 1"/>
        <xdr:cNvSpPr txBox="1">
          <a:spLocks noChangeArrowheads="1"/>
        </xdr:cNvSpPr>
      </xdr:nvSpPr>
      <xdr:spPr>
        <a:xfrm>
          <a:off x="0" y="17545050"/>
          <a:ext cx="57150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83</xdr:row>
      <xdr:rowOff>19050</xdr:rowOff>
    </xdr:from>
    <xdr:to>
      <xdr:col>15</xdr:col>
      <xdr:colOff>0</xdr:colOff>
      <xdr:row>90</xdr:row>
      <xdr:rowOff>152400</xdr:rowOff>
    </xdr:to>
    <xdr:sp>
      <xdr:nvSpPr>
        <xdr:cNvPr id="2" name="Textfeld 1"/>
        <xdr:cNvSpPr txBox="1">
          <a:spLocks noChangeArrowheads="1"/>
        </xdr:cNvSpPr>
      </xdr:nvSpPr>
      <xdr:spPr>
        <a:xfrm>
          <a:off x="6143625" y="17535525"/>
          <a:ext cx="5743575"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295275</xdr:colOff>
      <xdr:row>31</xdr:row>
      <xdr:rowOff>123825</xdr:rowOff>
    </xdr:from>
    <xdr:ext cx="733425" cy="180975"/>
    <xdr:sp>
      <xdr:nvSpPr>
        <xdr:cNvPr id="2" name="Text Box 3"/>
        <xdr:cNvSpPr txBox="1">
          <a:spLocks noChangeArrowheads="1"/>
        </xdr:cNvSpPr>
      </xdr:nvSpPr>
      <xdr:spPr>
        <a:xfrm>
          <a:off x="1524000"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285750</xdr:colOff>
      <xdr:row>33</xdr:row>
      <xdr:rowOff>152400</xdr:rowOff>
    </xdr:from>
    <xdr:ext cx="981075" cy="180975"/>
    <xdr:sp>
      <xdr:nvSpPr>
        <xdr:cNvPr id="3" name="Text Box 4"/>
        <xdr:cNvSpPr txBox="1">
          <a:spLocks noChangeArrowheads="1"/>
        </xdr:cNvSpPr>
      </xdr:nvSpPr>
      <xdr:spPr>
        <a:xfrm>
          <a:off x="1514475"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619125</xdr:colOff>
      <xdr:row>33</xdr:row>
      <xdr:rowOff>104775</xdr:rowOff>
    </xdr:from>
    <xdr:ext cx="733425" cy="180975"/>
    <xdr:sp>
      <xdr:nvSpPr>
        <xdr:cNvPr id="5" name="Text Box 6"/>
        <xdr:cNvSpPr txBox="1">
          <a:spLocks noChangeArrowheads="1"/>
        </xdr:cNvSpPr>
      </xdr:nvSpPr>
      <xdr:spPr>
        <a:xfrm>
          <a:off x="8705850"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34</xdr:row>
      <xdr:rowOff>152400</xdr:rowOff>
    </xdr:from>
    <xdr:to>
      <xdr:col>8</xdr:col>
      <xdr:colOff>695325</xdr:colOff>
      <xdr:row>58</xdr:row>
      <xdr:rowOff>114300</xdr:rowOff>
    </xdr:to>
    <xdr:graphicFrame>
      <xdr:nvGraphicFramePr>
        <xdr:cNvPr id="1" name="Chart 5"/>
        <xdr:cNvGraphicFramePr/>
      </xdr:nvGraphicFramePr>
      <xdr:xfrm>
        <a:off x="781050" y="6419850"/>
        <a:ext cx="6715125" cy="3848100"/>
      </xdr:xfrm>
      <a:graphic>
        <a:graphicData uri="http://schemas.openxmlformats.org/drawingml/2006/chart">
          <c:chart xmlns:c="http://schemas.openxmlformats.org/drawingml/2006/chart" r:id="rId1"/>
        </a:graphicData>
      </a:graphic>
    </xdr:graphicFrame>
    <xdr:clientData/>
  </xdr:twoCellAnchor>
  <xdr:oneCellAnchor>
    <xdr:from>
      <xdr:col>0</xdr:col>
      <xdr:colOff>809625</xdr:colOff>
      <xdr:row>49</xdr:row>
      <xdr:rowOff>38100</xdr:rowOff>
    </xdr:from>
    <xdr:ext cx="733425" cy="180975"/>
    <xdr:sp>
      <xdr:nvSpPr>
        <xdr:cNvPr id="2" name="Text Box 3"/>
        <xdr:cNvSpPr txBox="1">
          <a:spLocks noChangeArrowheads="1"/>
        </xdr:cNvSpPr>
      </xdr:nvSpPr>
      <xdr:spPr>
        <a:xfrm>
          <a:off x="809625" y="8734425"/>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3"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9563100"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9563100"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609725" y="6267450"/>
          <a:ext cx="25336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4324350"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495300</xdr:colOff>
      <xdr:row>32</xdr:row>
      <xdr:rowOff>152400</xdr:rowOff>
    </xdr:from>
    <xdr:ext cx="1990725" cy="180975"/>
    <xdr:sp>
      <xdr:nvSpPr>
        <xdr:cNvPr id="8" name="Text Box 12"/>
        <xdr:cNvSpPr txBox="1">
          <a:spLocks noChangeArrowheads="1"/>
        </xdr:cNvSpPr>
      </xdr:nvSpPr>
      <xdr:spPr>
        <a:xfrm>
          <a:off x="1685925" y="6096000"/>
          <a:ext cx="1990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location oder entreprise de trav. agr.</a:t>
          </a:r>
        </a:p>
      </xdr:txBody>
    </xdr:sp>
    <xdr:clientData/>
  </xdr:oneCellAnchor>
  <xdr:oneCellAnchor>
    <xdr:from>
      <xdr:col>4</xdr:col>
      <xdr:colOff>619125</xdr:colOff>
      <xdr:row>33</xdr:row>
      <xdr:rowOff>0</xdr:rowOff>
    </xdr:from>
    <xdr:ext cx="1609725" cy="180975"/>
    <xdr:sp>
      <xdr:nvSpPr>
        <xdr:cNvPr id="9" name="Text Box 13"/>
        <xdr:cNvSpPr txBox="1">
          <a:spLocks noChangeArrowheads="1"/>
        </xdr:cNvSpPr>
      </xdr:nvSpPr>
      <xdr:spPr>
        <a:xfrm>
          <a:off x="4371975" y="6105525"/>
          <a:ext cx="1609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Achat ou exécuter soi-même</a:t>
          </a:r>
        </a:p>
      </xdr:txBody>
    </xdr:sp>
    <xdr:clientData/>
  </xdr:oneCellAnchor>
  <xdr:twoCellAnchor>
    <xdr:from>
      <xdr:col>0</xdr:col>
      <xdr:colOff>800100</xdr:colOff>
      <xdr:row>71</xdr:row>
      <xdr:rowOff>133350</xdr:rowOff>
    </xdr:from>
    <xdr:to>
      <xdr:col>8</xdr:col>
      <xdr:colOff>676275</xdr:colOff>
      <xdr:row>96</xdr:row>
      <xdr:rowOff>123825</xdr:rowOff>
    </xdr:to>
    <xdr:graphicFrame>
      <xdr:nvGraphicFramePr>
        <xdr:cNvPr id="10" name="Chart 5"/>
        <xdr:cNvGraphicFramePr/>
      </xdr:nvGraphicFramePr>
      <xdr:xfrm>
        <a:off x="800100" y="12477750"/>
        <a:ext cx="6677025"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0</xdr:colOff>
      <xdr:row>19</xdr:row>
      <xdr:rowOff>104775</xdr:rowOff>
    </xdr:to>
    <xdr:sp>
      <xdr:nvSpPr>
        <xdr:cNvPr id="1" name="Textfeld 1"/>
        <xdr:cNvSpPr txBox="1">
          <a:spLocks noChangeArrowheads="1"/>
        </xdr:cNvSpPr>
      </xdr:nvSpPr>
      <xdr:spPr>
        <a:xfrm>
          <a:off x="238125" y="3219450"/>
          <a:ext cx="80772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Remarques: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72"/>
  <sheetViews>
    <sheetView zoomScalePageLayoutView="0" workbookViewId="0" topLeftCell="A1">
      <selection activeCell="D28" sqref="D28"/>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1460</v>
      </c>
    </row>
    <row r="3" spans="1:4" ht="12.75">
      <c r="A3" s="215" t="s">
        <v>85</v>
      </c>
      <c r="B3" s="215" t="s">
        <v>86</v>
      </c>
      <c r="C3" s="215"/>
      <c r="D3" s="215"/>
    </row>
    <row r="4" spans="1:4" ht="12.75">
      <c r="A4" s="215"/>
      <c r="B4" s="215" t="s">
        <v>1442</v>
      </c>
      <c r="C4" s="215"/>
      <c r="D4" s="215"/>
    </row>
    <row r="5" spans="1:4" ht="12.75">
      <c r="A5" s="215"/>
      <c r="B5" s="215" t="s">
        <v>1443</v>
      </c>
      <c r="C5" s="215"/>
      <c r="D5" s="215"/>
    </row>
    <row r="6" spans="1:4" ht="12.75">
      <c r="A6" s="215"/>
      <c r="B6" s="215" t="s">
        <v>87</v>
      </c>
      <c r="C6" s="215"/>
      <c r="D6" s="215"/>
    </row>
    <row r="7" spans="1:4" ht="12.75">
      <c r="A7" s="215"/>
      <c r="B7" s="215"/>
      <c r="C7" s="215"/>
      <c r="D7" s="215"/>
    </row>
    <row r="8" spans="1:4" ht="12.75">
      <c r="A8" s="215"/>
      <c r="B8" s="215"/>
      <c r="C8" s="215"/>
      <c r="D8" s="215"/>
    </row>
    <row r="10" ht="15.75">
      <c r="A10" s="3" t="s">
        <v>88</v>
      </c>
    </row>
    <row r="11" spans="5:6" ht="12.75">
      <c r="E11" s="236" t="s">
        <v>355</v>
      </c>
      <c r="F11" s="235">
        <f>SUM(F13:F69)</f>
        <v>0</v>
      </c>
    </row>
    <row r="12" ht="12.75">
      <c r="E12" t="s">
        <v>354</v>
      </c>
    </row>
    <row r="13" spans="1:6" ht="12.75">
      <c r="A13" t="s">
        <v>89</v>
      </c>
      <c r="B13" t="s">
        <v>175</v>
      </c>
      <c r="C13" s="955">
        <v>2.5</v>
      </c>
      <c r="E13" s="955">
        <v>2.5</v>
      </c>
      <c r="F13">
        <f>IF(E13-C13=0,0,1)</f>
        <v>0</v>
      </c>
    </row>
    <row r="14" spans="1:6" ht="12.75">
      <c r="A14" t="s">
        <v>90</v>
      </c>
      <c r="B14" t="s">
        <v>430</v>
      </c>
      <c r="C14" s="956">
        <v>28</v>
      </c>
      <c r="E14" s="956">
        <v>28</v>
      </c>
      <c r="F14">
        <f>IF(E14-C14=0,0,1)</f>
        <v>0</v>
      </c>
    </row>
    <row r="15" spans="3:5" ht="12.75">
      <c r="C15" s="957"/>
      <c r="E15" s="957"/>
    </row>
    <row r="16" spans="1:5" ht="15.75">
      <c r="A16" s="3" t="s">
        <v>91</v>
      </c>
      <c r="C16" s="957"/>
      <c r="E16" s="957"/>
    </row>
    <row r="17" spans="1:6" ht="12.75">
      <c r="A17" s="2" t="s">
        <v>360</v>
      </c>
      <c r="B17" t="s">
        <v>378</v>
      </c>
      <c r="C17" s="1304">
        <v>13</v>
      </c>
      <c r="E17" s="1304">
        <v>13</v>
      </c>
      <c r="F17">
        <f>IF(E17-C17=0,0,1)</f>
        <v>0</v>
      </c>
    </row>
    <row r="18" spans="1:6" ht="12.75">
      <c r="A18" s="2" t="s">
        <v>361</v>
      </c>
      <c r="B18" t="s">
        <v>378</v>
      </c>
      <c r="C18" s="1304">
        <v>6</v>
      </c>
      <c r="E18" s="1304">
        <v>6</v>
      </c>
      <c r="F18">
        <f>IF(E18-C18=0,0,1)</f>
        <v>0</v>
      </c>
    </row>
    <row r="19" spans="3:5" ht="12.75">
      <c r="C19" s="1305"/>
      <c r="E19" s="1305"/>
    </row>
    <row r="20" spans="3:5" ht="12.75">
      <c r="C20" s="1305"/>
      <c r="E20" s="1305"/>
    </row>
    <row r="21" spans="1:5" ht="15.75">
      <c r="A21" s="3" t="s">
        <v>92</v>
      </c>
      <c r="C21" s="1305"/>
      <c r="E21" s="1305"/>
    </row>
    <row r="22" spans="1:5" ht="12.75">
      <c r="A22" t="s">
        <v>93</v>
      </c>
      <c r="B22" t="s">
        <v>431</v>
      </c>
      <c r="C22" s="958">
        <v>1.47</v>
      </c>
      <c r="E22" s="958">
        <v>1.47</v>
      </c>
    </row>
    <row r="23" spans="1:5" ht="12.75">
      <c r="A23" t="s">
        <v>94</v>
      </c>
      <c r="B23" t="s">
        <v>431</v>
      </c>
      <c r="C23" s="958">
        <v>1.45</v>
      </c>
      <c r="E23" s="958">
        <v>1.45</v>
      </c>
    </row>
    <row r="24" spans="1:6" ht="12.75">
      <c r="A24" t="s">
        <v>95</v>
      </c>
      <c r="B24" t="s">
        <v>431</v>
      </c>
      <c r="C24" s="959">
        <v>4.52</v>
      </c>
      <c r="E24" s="959">
        <v>4.52</v>
      </c>
      <c r="F24">
        <f aca="true" t="shared" si="0" ref="F24:F33">IF(E24-C24=0,0,1)</f>
        <v>0</v>
      </c>
    </row>
    <row r="25" spans="1:6" ht="12.75">
      <c r="A25" t="s">
        <v>96</v>
      </c>
      <c r="B25" t="s">
        <v>1192</v>
      </c>
      <c r="C25" s="960">
        <v>0.003</v>
      </c>
      <c r="E25" s="960">
        <v>0.003</v>
      </c>
      <c r="F25">
        <f t="shared" si="0"/>
        <v>0</v>
      </c>
    </row>
    <row r="26" spans="1:6" ht="12.75">
      <c r="A26" t="s">
        <v>97</v>
      </c>
      <c r="B26" t="s">
        <v>1192</v>
      </c>
      <c r="C26" s="960">
        <v>0.005</v>
      </c>
      <c r="E26" s="960">
        <v>0.005</v>
      </c>
      <c r="F26">
        <f t="shared" si="0"/>
        <v>0</v>
      </c>
    </row>
    <row r="27" spans="1:6" ht="12.75">
      <c r="A27" t="s">
        <v>98</v>
      </c>
      <c r="B27" t="s">
        <v>430</v>
      </c>
      <c r="C27" s="960">
        <v>7</v>
      </c>
      <c r="E27" s="960">
        <v>7</v>
      </c>
      <c r="F27">
        <f t="shared" si="0"/>
        <v>0</v>
      </c>
    </row>
    <row r="28" spans="1:6" ht="12.75">
      <c r="A28" t="s">
        <v>99</v>
      </c>
      <c r="B28" t="s">
        <v>431</v>
      </c>
      <c r="C28" s="960">
        <v>0</v>
      </c>
      <c r="E28" s="960">
        <v>0</v>
      </c>
      <c r="F28">
        <f t="shared" si="0"/>
        <v>0</v>
      </c>
    </row>
    <row r="29" spans="1:6" ht="12.75">
      <c r="A29" t="s">
        <v>100</v>
      </c>
      <c r="B29" t="s">
        <v>101</v>
      </c>
      <c r="C29" s="960">
        <v>0.004</v>
      </c>
      <c r="E29" s="960">
        <v>0.004</v>
      </c>
      <c r="F29">
        <f t="shared" si="0"/>
        <v>0</v>
      </c>
    </row>
    <row r="30" spans="1:6" ht="12.75">
      <c r="A30" t="s">
        <v>102</v>
      </c>
      <c r="B30">
        <v>1141</v>
      </c>
      <c r="C30" s="958">
        <v>1.8559999999999999</v>
      </c>
      <c r="D30" t="s">
        <v>430</v>
      </c>
      <c r="E30" s="958">
        <v>1.8559999999999999</v>
      </c>
      <c r="F30">
        <f t="shared" si="0"/>
        <v>0</v>
      </c>
    </row>
    <row r="31" spans="1:6" ht="12.75">
      <c r="A31" t="s">
        <v>103</v>
      </c>
      <c r="B31">
        <v>1142</v>
      </c>
      <c r="C31" s="958">
        <v>3.132</v>
      </c>
      <c r="D31" t="s">
        <v>430</v>
      </c>
      <c r="E31" s="958">
        <v>3.132</v>
      </c>
      <c r="F31">
        <f t="shared" si="0"/>
        <v>0</v>
      </c>
    </row>
    <row r="32" spans="1:6" ht="12.75">
      <c r="A32" t="s">
        <v>104</v>
      </c>
      <c r="B32">
        <v>1143</v>
      </c>
      <c r="C32" s="958">
        <v>3.654</v>
      </c>
      <c r="D32" t="s">
        <v>430</v>
      </c>
      <c r="E32" s="958">
        <v>3.654</v>
      </c>
      <c r="F32">
        <f t="shared" si="0"/>
        <v>0</v>
      </c>
    </row>
    <row r="33" spans="1:6" ht="12.75">
      <c r="A33" t="s">
        <v>105</v>
      </c>
      <c r="B33" t="s">
        <v>358</v>
      </c>
      <c r="C33" s="961">
        <v>408.5714285714286</v>
      </c>
      <c r="E33" s="961">
        <v>408.5714285714286</v>
      </c>
      <c r="F33">
        <f t="shared" si="0"/>
        <v>0</v>
      </c>
    </row>
    <row r="34" spans="2:5" ht="12.75">
      <c r="B34">
        <v>1144</v>
      </c>
      <c r="C34" s="1306">
        <v>3.132</v>
      </c>
      <c r="D34" t="s">
        <v>430</v>
      </c>
      <c r="E34" s="1306">
        <v>3.132</v>
      </c>
    </row>
    <row r="35" spans="3:5" ht="12.75">
      <c r="C35" s="1305"/>
      <c r="E35" s="1305"/>
    </row>
    <row r="36" spans="1:5" ht="15.75" hidden="1">
      <c r="A36" s="3" t="s">
        <v>106</v>
      </c>
      <c r="C36" s="1305"/>
      <c r="E36" s="1305"/>
    </row>
    <row r="37" spans="3:5" ht="12.75" hidden="1">
      <c r="C37" s="1305"/>
      <c r="E37" s="1305"/>
    </row>
    <row r="38" spans="1:6" ht="12.75" hidden="1">
      <c r="A38" t="s">
        <v>107</v>
      </c>
      <c r="B38" t="s">
        <v>175</v>
      </c>
      <c r="C38" s="962">
        <v>0.002</v>
      </c>
      <c r="E38" s="962">
        <v>0.002</v>
      </c>
      <c r="F38">
        <f aca="true" t="shared" si="1" ref="F38:F48">IF(E38-C38=0,0,1)</f>
        <v>0</v>
      </c>
    </row>
    <row r="39" spans="1:6" ht="12.75" hidden="1">
      <c r="A39" t="s">
        <v>1439</v>
      </c>
      <c r="B39" t="s">
        <v>432</v>
      </c>
      <c r="C39" s="963">
        <v>480</v>
      </c>
      <c r="D39" s="557"/>
      <c r="E39" s="963">
        <v>480</v>
      </c>
      <c r="F39">
        <f t="shared" si="1"/>
        <v>0</v>
      </c>
    </row>
    <row r="40" spans="1:6" ht="12.75" hidden="1">
      <c r="A40" t="s">
        <v>1438</v>
      </c>
      <c r="B40" t="s">
        <v>432</v>
      </c>
      <c r="C40" s="963">
        <v>1020</v>
      </c>
      <c r="D40" s="557"/>
      <c r="E40" s="963">
        <v>1020</v>
      </c>
      <c r="F40">
        <f t="shared" si="1"/>
        <v>0</v>
      </c>
    </row>
    <row r="41" spans="1:6" ht="12.75" hidden="1">
      <c r="A41" t="s">
        <v>108</v>
      </c>
      <c r="B41" t="s">
        <v>432</v>
      </c>
      <c r="C41" s="963">
        <v>235</v>
      </c>
      <c r="E41" s="963">
        <v>235</v>
      </c>
      <c r="F41">
        <f t="shared" si="1"/>
        <v>0</v>
      </c>
    </row>
    <row r="42" spans="1:6" ht="12.75" hidden="1">
      <c r="A42" t="s">
        <v>1441</v>
      </c>
      <c r="B42" t="s">
        <v>432</v>
      </c>
      <c r="C42" s="963">
        <v>500</v>
      </c>
      <c r="E42" s="963">
        <v>500</v>
      </c>
      <c r="F42">
        <f t="shared" si="1"/>
        <v>0</v>
      </c>
    </row>
    <row r="43" spans="1:6" ht="12.75" hidden="1">
      <c r="A43" t="s">
        <v>1440</v>
      </c>
      <c r="B43" t="s">
        <v>432</v>
      </c>
      <c r="C43" s="963">
        <v>1620</v>
      </c>
      <c r="D43" s="557"/>
      <c r="E43" s="963">
        <v>1620</v>
      </c>
      <c r="F43">
        <f t="shared" si="1"/>
        <v>0</v>
      </c>
    </row>
    <row r="44" spans="1:6" ht="12.75" hidden="1">
      <c r="A44" t="s">
        <v>109</v>
      </c>
      <c r="B44" t="s">
        <v>432</v>
      </c>
      <c r="C44" s="963">
        <v>100</v>
      </c>
      <c r="E44" s="963">
        <v>100</v>
      </c>
      <c r="F44">
        <f t="shared" si="1"/>
        <v>0</v>
      </c>
    </row>
    <row r="45" spans="1:6" ht="12.75" hidden="1">
      <c r="A45" t="s">
        <v>110</v>
      </c>
      <c r="B45" t="s">
        <v>432</v>
      </c>
      <c r="C45" s="963">
        <v>340</v>
      </c>
      <c r="E45" s="963">
        <v>340</v>
      </c>
      <c r="F45">
        <f t="shared" si="1"/>
        <v>0</v>
      </c>
    </row>
    <row r="46" spans="1:6" ht="12.75" hidden="1">
      <c r="A46" t="s">
        <v>111</v>
      </c>
      <c r="B46" t="s">
        <v>432</v>
      </c>
      <c r="C46" s="963">
        <v>0</v>
      </c>
      <c r="E46" s="963">
        <v>0</v>
      </c>
      <c r="F46">
        <f t="shared" si="1"/>
        <v>0</v>
      </c>
    </row>
    <row r="47" spans="1:6" ht="12.75" hidden="1">
      <c r="A47" t="s">
        <v>112</v>
      </c>
      <c r="B47" t="s">
        <v>432</v>
      </c>
      <c r="C47" s="963">
        <v>200</v>
      </c>
      <c r="E47" s="963">
        <v>200</v>
      </c>
      <c r="F47">
        <f t="shared" si="1"/>
        <v>0</v>
      </c>
    </row>
    <row r="48" spans="1:6" ht="12.75" hidden="1">
      <c r="A48" t="s">
        <v>113</v>
      </c>
      <c r="B48" t="s">
        <v>432</v>
      </c>
      <c r="C48" s="963">
        <v>590</v>
      </c>
      <c r="E48" s="963">
        <v>590</v>
      </c>
      <c r="F48">
        <f t="shared" si="1"/>
        <v>0</v>
      </c>
    </row>
    <row r="49" spans="3:5" ht="12.75" hidden="1">
      <c r="C49" s="1305"/>
      <c r="E49" s="1305"/>
    </row>
    <row r="50" spans="3:5" ht="12.75">
      <c r="C50" s="1305"/>
      <c r="E50" s="1305"/>
    </row>
    <row r="51" spans="1:5" ht="15.75">
      <c r="A51" s="3" t="s">
        <v>114</v>
      </c>
      <c r="C51" s="1305"/>
      <c r="E51" s="1305"/>
    </row>
    <row r="52" spans="3:5" ht="12.75">
      <c r="C52" s="1305"/>
      <c r="E52" s="1305"/>
    </row>
    <row r="53" spans="1:6" ht="12.75">
      <c r="A53" s="123" t="s">
        <v>115</v>
      </c>
      <c r="B53" t="s">
        <v>434</v>
      </c>
      <c r="C53" s="958">
        <v>0.06085028571428571</v>
      </c>
      <c r="E53" s="958">
        <v>0.06085028571428571</v>
      </c>
      <c r="F53">
        <f aca="true" t="shared" si="2" ref="F53:F69">IF(E53-C53=0,0,1)</f>
        <v>0</v>
      </c>
    </row>
    <row r="54" spans="1:6" ht="12.75">
      <c r="A54" s="1" t="s">
        <v>116</v>
      </c>
      <c r="B54" t="s">
        <v>434</v>
      </c>
      <c r="C54" s="964">
        <v>0.04449600000000001</v>
      </c>
      <c r="E54" s="964">
        <v>0.04449600000000001</v>
      </c>
      <c r="F54">
        <f t="shared" si="2"/>
        <v>0</v>
      </c>
    </row>
    <row r="55" spans="1:6" ht="12.75">
      <c r="A55" s="122" t="s">
        <v>117</v>
      </c>
      <c r="B55" t="s">
        <v>434</v>
      </c>
      <c r="C55" s="964">
        <v>0.25708800000000004</v>
      </c>
      <c r="E55" s="964">
        <v>0.25708800000000004</v>
      </c>
      <c r="F55">
        <f t="shared" si="2"/>
        <v>0</v>
      </c>
    </row>
    <row r="56" spans="1:6" ht="12.75">
      <c r="A56" s="122" t="s">
        <v>118</v>
      </c>
      <c r="B56" t="s">
        <v>434</v>
      </c>
      <c r="C56" s="958">
        <v>0.644676923076923</v>
      </c>
      <c r="E56" s="958">
        <v>0.644676923076923</v>
      </c>
      <c r="F56">
        <f t="shared" si="2"/>
        <v>0</v>
      </c>
    </row>
    <row r="57" spans="1:6" ht="12.75">
      <c r="A57" s="122" t="s">
        <v>119</v>
      </c>
      <c r="B57" t="s">
        <v>434</v>
      </c>
      <c r="C57" s="958">
        <v>1.0207384615384616</v>
      </c>
      <c r="E57" s="958">
        <v>1.0207384615384616</v>
      </c>
      <c r="F57">
        <f t="shared" si="2"/>
        <v>0</v>
      </c>
    </row>
    <row r="58" spans="1:6" ht="12.75">
      <c r="A58" s="122" t="s">
        <v>120</v>
      </c>
      <c r="B58" t="s">
        <v>434</v>
      </c>
      <c r="C58" s="958">
        <v>0.04449600000000001</v>
      </c>
      <c r="E58" s="958">
        <v>0.04449600000000001</v>
      </c>
      <c r="F58">
        <f t="shared" si="2"/>
        <v>0</v>
      </c>
    </row>
    <row r="59" spans="1:6" ht="12.75">
      <c r="A59" s="116" t="s">
        <v>121</v>
      </c>
      <c r="B59" t="s">
        <v>434</v>
      </c>
      <c r="C59" s="958">
        <v>0.6796858516483517</v>
      </c>
      <c r="E59" s="958">
        <v>0.6796858516483517</v>
      </c>
      <c r="F59">
        <f t="shared" si="2"/>
        <v>0</v>
      </c>
    </row>
    <row r="60" spans="1:6" ht="12.75">
      <c r="A60" s="116" t="s">
        <v>122</v>
      </c>
      <c r="B60" t="s">
        <v>434</v>
      </c>
      <c r="C60" s="958">
        <v>0.8674103076923076</v>
      </c>
      <c r="E60" s="958">
        <v>0.8674103076923076</v>
      </c>
      <c r="F60">
        <f t="shared" si="2"/>
        <v>0</v>
      </c>
    </row>
    <row r="61" spans="1:6" ht="12.75">
      <c r="A61" s="116" t="s">
        <v>123</v>
      </c>
      <c r="B61" t="s">
        <v>434</v>
      </c>
      <c r="C61" s="958">
        <v>5.102666666666667</v>
      </c>
      <c r="E61" s="958">
        <v>5.102666666666667</v>
      </c>
      <c r="F61">
        <f t="shared" si="2"/>
        <v>0</v>
      </c>
    </row>
    <row r="62" spans="1:6" ht="12.75">
      <c r="A62" s="116" t="s">
        <v>124</v>
      </c>
      <c r="B62" t="s">
        <v>434</v>
      </c>
      <c r="C62" s="958">
        <v>4.586666666666667</v>
      </c>
      <c r="E62" s="958">
        <v>4.586666666666667</v>
      </c>
      <c r="F62">
        <f t="shared" si="2"/>
        <v>0</v>
      </c>
    </row>
    <row r="63" spans="1:6" ht="12.75">
      <c r="A63" s="116" t="s">
        <v>125</v>
      </c>
      <c r="B63" t="s">
        <v>434</v>
      </c>
      <c r="C63" s="958">
        <v>5.16</v>
      </c>
      <c r="E63" s="958">
        <v>5.16</v>
      </c>
      <c r="F63">
        <f t="shared" si="2"/>
        <v>0</v>
      </c>
    </row>
    <row r="64" spans="1:6" ht="12.75">
      <c r="A64" s="116" t="s">
        <v>126</v>
      </c>
      <c r="B64" t="s">
        <v>434</v>
      </c>
      <c r="C64" s="958">
        <v>3.4000000000000004</v>
      </c>
      <c r="E64" s="958">
        <v>3.4000000000000004</v>
      </c>
      <c r="F64">
        <f t="shared" si="2"/>
        <v>0</v>
      </c>
    </row>
    <row r="65" spans="1:6" ht="12.75">
      <c r="A65" s="116" t="s">
        <v>127</v>
      </c>
      <c r="B65" t="s">
        <v>434</v>
      </c>
      <c r="C65" s="965">
        <v>5.266352518315019</v>
      </c>
      <c r="E65" s="965">
        <v>5.266352518315019</v>
      </c>
      <c r="F65">
        <f t="shared" si="2"/>
        <v>0</v>
      </c>
    </row>
    <row r="66" spans="1:6" ht="12.75">
      <c r="A66" s="2" t="s">
        <v>128</v>
      </c>
      <c r="B66" t="s">
        <v>378</v>
      </c>
      <c r="C66" s="958">
        <v>3.86</v>
      </c>
      <c r="E66" s="958">
        <v>3.86</v>
      </c>
      <c r="F66">
        <f t="shared" si="2"/>
        <v>0</v>
      </c>
    </row>
    <row r="67" spans="1:6" ht="12.75">
      <c r="A67" s="2" t="s">
        <v>19</v>
      </c>
      <c r="B67" t="s">
        <v>430</v>
      </c>
      <c r="C67" s="966">
        <v>7.46</v>
      </c>
      <c r="E67" s="966">
        <v>7.46</v>
      </c>
      <c r="F67">
        <f t="shared" si="2"/>
        <v>0</v>
      </c>
    </row>
    <row r="68" spans="1:6" ht="12.75">
      <c r="A68" s="2" t="s">
        <v>20</v>
      </c>
      <c r="B68" t="s">
        <v>358</v>
      </c>
      <c r="C68" s="961">
        <v>83.52000000000001</v>
      </c>
      <c r="E68" s="961">
        <v>83.52000000000001</v>
      </c>
      <c r="F68">
        <f t="shared" si="2"/>
        <v>0</v>
      </c>
    </row>
    <row r="69" spans="1:6" ht="12.75">
      <c r="A69" s="2" t="s">
        <v>21</v>
      </c>
      <c r="B69" t="s">
        <v>378</v>
      </c>
      <c r="C69" s="958">
        <v>2.15</v>
      </c>
      <c r="E69" s="958">
        <v>2.15</v>
      </c>
      <c r="F69">
        <f t="shared" si="2"/>
        <v>0</v>
      </c>
    </row>
    <row r="70" spans="1:3" ht="12.75">
      <c r="A70" s="2"/>
      <c r="C70" s="212"/>
    </row>
    <row r="73" ht="15.75">
      <c r="A73" s="3" t="s">
        <v>22</v>
      </c>
    </row>
    <row r="75" spans="2:3" ht="12.75">
      <c r="B75" t="s">
        <v>23</v>
      </c>
      <c r="C75" s="8" t="s">
        <v>24</v>
      </c>
    </row>
    <row r="76" spans="2:3" ht="14.25">
      <c r="B76" s="213">
        <v>0</v>
      </c>
      <c r="C76" s="214">
        <v>0.9</v>
      </c>
    </row>
    <row r="77" spans="2:3" ht="14.25">
      <c r="B77" s="213">
        <v>0.1</v>
      </c>
      <c r="C77" s="214">
        <v>0.85</v>
      </c>
    </row>
    <row r="78" spans="2:3" ht="14.25">
      <c r="B78" s="213">
        <v>0.1</v>
      </c>
      <c r="C78" s="214">
        <v>0.75</v>
      </c>
    </row>
    <row r="79" spans="2:3" ht="14.25">
      <c r="B79" s="213">
        <v>0.25</v>
      </c>
      <c r="C79" s="214">
        <v>0.6</v>
      </c>
    </row>
    <row r="80" spans="2:3" ht="14.25">
      <c r="B80" s="213">
        <v>0.25</v>
      </c>
      <c r="C80" s="214">
        <v>0.4</v>
      </c>
    </row>
    <row r="86" ht="12.75">
      <c r="A86" s="7" t="s">
        <v>25</v>
      </c>
    </row>
    <row r="87" spans="1:5" ht="12.75">
      <c r="A87" s="557" t="s">
        <v>26</v>
      </c>
      <c r="E87" t="s">
        <v>70</v>
      </c>
    </row>
    <row r="88" ht="12.75">
      <c r="E88" t="s">
        <v>34</v>
      </c>
    </row>
    <row r="89" ht="12.75">
      <c r="E89" t="s">
        <v>35</v>
      </c>
    </row>
    <row r="90" ht="12.75">
      <c r="E90" t="s">
        <v>71</v>
      </c>
    </row>
    <row r="93" spans="3:4" ht="12.75">
      <c r="C93" s="558" t="s">
        <v>357</v>
      </c>
      <c r="D93" s="558"/>
    </row>
    <row r="94" spans="3:4" ht="12.75">
      <c r="C94" s="558"/>
      <c r="D94" s="558"/>
    </row>
    <row r="95" spans="3:4" ht="12.75">
      <c r="C95" s="559" t="s">
        <v>151</v>
      </c>
      <c r="D95" s="559" t="s">
        <v>383</v>
      </c>
    </row>
    <row r="96" spans="3:4" ht="12.75">
      <c r="C96" s="560">
        <v>1000</v>
      </c>
      <c r="D96" s="561" t="s">
        <v>447</v>
      </c>
    </row>
    <row r="97" spans="3:4" ht="12.75">
      <c r="C97" s="562">
        <v>1010</v>
      </c>
      <c r="D97" s="563" t="s">
        <v>448</v>
      </c>
    </row>
    <row r="98" spans="3:4" ht="12.75">
      <c r="C98" s="562"/>
      <c r="D98" s="564" t="s">
        <v>335</v>
      </c>
    </row>
    <row r="99" spans="3:4" ht="12.75">
      <c r="C99" s="562"/>
      <c r="D99" s="564" t="s">
        <v>331</v>
      </c>
    </row>
    <row r="100" spans="3:4" ht="12.75">
      <c r="C100" s="562"/>
      <c r="D100" s="565" t="s">
        <v>427</v>
      </c>
    </row>
    <row r="101" spans="3:4" ht="12.75">
      <c r="C101" s="562"/>
      <c r="D101" s="564" t="s">
        <v>322</v>
      </c>
    </row>
    <row r="102" spans="3:4" ht="12.75">
      <c r="C102" s="562"/>
      <c r="D102" s="564" t="s">
        <v>337</v>
      </c>
    </row>
    <row r="103" spans="3:4" ht="12.75">
      <c r="C103" s="562"/>
      <c r="D103" s="564" t="s">
        <v>323</v>
      </c>
    </row>
    <row r="104" spans="3:4" ht="12.75">
      <c r="C104" s="562"/>
      <c r="D104" s="564" t="s">
        <v>338</v>
      </c>
    </row>
    <row r="105" spans="3:4" ht="12.75">
      <c r="C105" s="562"/>
      <c r="D105" s="564" t="s">
        <v>425</v>
      </c>
    </row>
    <row r="106" spans="3:4" ht="12.75">
      <c r="C106" s="566"/>
      <c r="D106" s="567"/>
    </row>
    <row r="107" spans="3:4" ht="12.75">
      <c r="C107" s="126">
        <v>1030</v>
      </c>
      <c r="D107" s="127" t="s">
        <v>328</v>
      </c>
    </row>
    <row r="108" spans="3:4" ht="12.75">
      <c r="C108" s="131"/>
      <c r="D108" s="133" t="s">
        <v>162</v>
      </c>
    </row>
    <row r="109" spans="3:4" ht="12.75">
      <c r="C109" s="126">
        <v>1080</v>
      </c>
      <c r="D109" s="127" t="s">
        <v>449</v>
      </c>
    </row>
    <row r="110" spans="3:4" ht="12.75">
      <c r="C110" s="131"/>
      <c r="D110" s="132" t="s">
        <v>421</v>
      </c>
    </row>
    <row r="111" spans="3:4" ht="12.75">
      <c r="C111" s="126">
        <v>1140</v>
      </c>
      <c r="D111" s="127" t="s">
        <v>412</v>
      </c>
    </row>
    <row r="112" spans="3:4" ht="12.75">
      <c r="C112" s="131"/>
      <c r="D112" s="132" t="s">
        <v>332</v>
      </c>
    </row>
    <row r="113" spans="3:4" ht="12.75">
      <c r="C113" s="126">
        <v>1141</v>
      </c>
      <c r="D113" s="127" t="s">
        <v>453</v>
      </c>
    </row>
    <row r="114" spans="3:4" ht="12.75">
      <c r="C114" s="131"/>
      <c r="D114" s="134" t="s">
        <v>404</v>
      </c>
    </row>
    <row r="115" spans="3:4" ht="12.75">
      <c r="C115" s="126">
        <v>1142</v>
      </c>
      <c r="D115" s="127" t="s">
        <v>454</v>
      </c>
    </row>
    <row r="116" spans="3:4" ht="12.75">
      <c r="C116" s="131"/>
      <c r="D116" s="134" t="s">
        <v>405</v>
      </c>
    </row>
    <row r="117" spans="3:4" ht="12.75">
      <c r="C117" s="126">
        <v>1143</v>
      </c>
      <c r="D117" s="127" t="s">
        <v>215</v>
      </c>
    </row>
    <row r="118" spans="3:4" ht="12.75">
      <c r="C118" s="131"/>
      <c r="D118" s="134" t="s">
        <v>406</v>
      </c>
    </row>
    <row r="119" spans="3:4" ht="12.75">
      <c r="C119" s="126">
        <v>3000</v>
      </c>
      <c r="D119" s="127" t="s">
        <v>436</v>
      </c>
    </row>
    <row r="120" spans="3:4" ht="12.75">
      <c r="C120" s="131"/>
      <c r="D120" s="134" t="s">
        <v>345</v>
      </c>
    </row>
    <row r="121" spans="3:4" ht="12.75">
      <c r="C121" s="126">
        <v>3020</v>
      </c>
      <c r="D121" s="127" t="s">
        <v>336</v>
      </c>
    </row>
    <row r="122" spans="3:4" ht="12.75">
      <c r="C122" s="131"/>
      <c r="D122" s="134" t="s">
        <v>161</v>
      </c>
    </row>
    <row r="123" spans="3:4" ht="12.75">
      <c r="C123" s="126">
        <v>5134</v>
      </c>
      <c r="D123" s="127" t="s">
        <v>217</v>
      </c>
    </row>
    <row r="124" spans="3:4" ht="12.75">
      <c r="C124" s="131"/>
      <c r="D124" s="132" t="s">
        <v>422</v>
      </c>
    </row>
    <row r="125" spans="3:4" ht="12.75">
      <c r="C125" s="126">
        <v>5150</v>
      </c>
      <c r="D125" s="127" t="s">
        <v>475</v>
      </c>
    </row>
    <row r="126" spans="3:4" ht="12.75">
      <c r="C126" s="128"/>
      <c r="D126" s="135" t="s">
        <v>339</v>
      </c>
    </row>
    <row r="127" spans="3:4" ht="12.75">
      <c r="C127" s="131"/>
      <c r="D127" s="134" t="s">
        <v>403</v>
      </c>
    </row>
    <row r="128" spans="3:4" ht="12.75">
      <c r="C128" s="126">
        <v>6020</v>
      </c>
      <c r="D128" s="127" t="s">
        <v>474</v>
      </c>
    </row>
    <row r="129" spans="3:4" ht="12.75">
      <c r="C129" s="131"/>
      <c r="D129" s="132" t="s">
        <v>478</v>
      </c>
    </row>
    <row r="130" spans="3:4" ht="12.75">
      <c r="C130" s="126">
        <v>7000</v>
      </c>
      <c r="D130" s="127" t="s">
        <v>481</v>
      </c>
    </row>
    <row r="131" spans="3:4" ht="12.75">
      <c r="C131" s="128"/>
      <c r="D131" s="130" t="s">
        <v>423</v>
      </c>
    </row>
    <row r="132" spans="3:4" ht="12.75">
      <c r="C132" s="131"/>
      <c r="D132" s="132" t="s">
        <v>424</v>
      </c>
    </row>
    <row r="133" spans="3:4" ht="12.75">
      <c r="C133" s="126">
        <v>7061</v>
      </c>
      <c r="D133" s="127" t="s">
        <v>150</v>
      </c>
    </row>
    <row r="134" spans="3:4" ht="12.75">
      <c r="C134" s="131"/>
      <c r="D134" s="132" t="s">
        <v>426</v>
      </c>
    </row>
    <row r="135" spans="3:4" ht="12.75">
      <c r="C135" s="126">
        <v>8003</v>
      </c>
      <c r="D135" s="127" t="s">
        <v>460</v>
      </c>
    </row>
    <row r="136" spans="3:4" ht="12.75">
      <c r="C136" s="131"/>
      <c r="D136" s="132" t="s">
        <v>407</v>
      </c>
    </row>
    <row r="137" spans="3:4" ht="12.75">
      <c r="C137" s="126">
        <v>8013</v>
      </c>
      <c r="D137" s="127" t="s">
        <v>153</v>
      </c>
    </row>
    <row r="138" spans="3:4" ht="12.75">
      <c r="C138" s="128"/>
      <c r="D138" s="130" t="s">
        <v>379</v>
      </c>
    </row>
    <row r="139" spans="3:4" ht="12.75">
      <c r="C139" s="128"/>
      <c r="D139" s="130" t="s">
        <v>380</v>
      </c>
    </row>
    <row r="140" spans="3:4" ht="12.75">
      <c r="C140" s="131"/>
      <c r="D140" s="132" t="s">
        <v>381</v>
      </c>
    </row>
    <row r="141" spans="3:4" ht="12.75">
      <c r="C141" s="126">
        <v>8051</v>
      </c>
      <c r="D141" s="127" t="s">
        <v>373</v>
      </c>
    </row>
    <row r="142" spans="3:4" ht="12.75">
      <c r="C142" s="128">
        <v>8052</v>
      </c>
      <c r="D142" s="129" t="s">
        <v>374</v>
      </c>
    </row>
    <row r="143" spans="3:4" ht="12.75">
      <c r="C143" s="131"/>
      <c r="D143" s="132" t="s">
        <v>382</v>
      </c>
    </row>
    <row r="144" spans="3:4" ht="12.75">
      <c r="C144" s="128">
        <v>9040</v>
      </c>
      <c r="D144" s="129" t="s">
        <v>479</v>
      </c>
    </row>
    <row r="145" spans="3:4" ht="12.75">
      <c r="C145" s="128"/>
      <c r="D145" s="130" t="s">
        <v>382</v>
      </c>
    </row>
    <row r="146" spans="3:4" ht="12.75">
      <c r="C146" s="126">
        <v>9080</v>
      </c>
      <c r="D146" s="127" t="s">
        <v>329</v>
      </c>
    </row>
    <row r="147" spans="3:4" ht="12.75">
      <c r="C147" s="131"/>
      <c r="D147" s="137" t="s">
        <v>333</v>
      </c>
    </row>
    <row r="148" spans="3:4" ht="12.75">
      <c r="C148" s="126">
        <v>9100</v>
      </c>
      <c r="D148" s="127" t="s">
        <v>280</v>
      </c>
    </row>
    <row r="149" spans="3:4" ht="12.75">
      <c r="C149" s="131"/>
      <c r="D149" s="137" t="s">
        <v>333</v>
      </c>
    </row>
    <row r="150" spans="3:4" ht="12.75">
      <c r="C150" s="126">
        <v>9120</v>
      </c>
      <c r="D150" s="127" t="s">
        <v>346</v>
      </c>
    </row>
    <row r="151" spans="3:4" ht="12.75">
      <c r="C151" s="131"/>
      <c r="D151" s="137" t="s">
        <v>334</v>
      </c>
    </row>
    <row r="152" spans="3:4" ht="12.75">
      <c r="C152" s="6">
        <v>9121</v>
      </c>
      <c r="D152" s="10" t="s">
        <v>473</v>
      </c>
    </row>
    <row r="153" spans="3:4" ht="12.75">
      <c r="C153" s="6"/>
      <c r="D153" s="11" t="s">
        <v>163</v>
      </c>
    </row>
    <row r="154" spans="3:4" ht="12.75">
      <c r="C154" s="126">
        <v>9200</v>
      </c>
      <c r="D154" s="127" t="s">
        <v>152</v>
      </c>
    </row>
    <row r="155" spans="3:4" ht="12.75">
      <c r="C155" s="128"/>
      <c r="D155" s="130" t="s">
        <v>423</v>
      </c>
    </row>
    <row r="156" spans="3:4" ht="12.75">
      <c r="C156" s="131"/>
      <c r="D156" s="132" t="s">
        <v>424</v>
      </c>
    </row>
    <row r="157" spans="3:4" ht="12.75">
      <c r="C157" s="126">
        <v>12009</v>
      </c>
      <c r="D157" s="127" t="s">
        <v>365</v>
      </c>
    </row>
    <row r="158" spans="3:4" ht="12.75">
      <c r="C158" s="128"/>
      <c r="D158" s="135" t="s">
        <v>341</v>
      </c>
    </row>
    <row r="159" spans="3:4" ht="12.75">
      <c r="C159" s="131"/>
      <c r="D159" s="134" t="s">
        <v>342</v>
      </c>
    </row>
    <row r="160" spans="3:4" ht="12.75">
      <c r="C160" s="126">
        <v>13020</v>
      </c>
      <c r="D160" s="127" t="s">
        <v>384</v>
      </c>
    </row>
    <row r="161" spans="3:4" ht="12.75">
      <c r="C161" s="128"/>
      <c r="D161" s="130" t="s">
        <v>339</v>
      </c>
    </row>
    <row r="162" spans="3:4" ht="12.75">
      <c r="C162" s="131"/>
      <c r="D162" s="132" t="s">
        <v>340</v>
      </c>
    </row>
    <row r="163" spans="3:4" ht="12.75">
      <c r="C163" s="126">
        <v>14048</v>
      </c>
      <c r="D163" s="127" t="s">
        <v>392</v>
      </c>
    </row>
    <row r="164" spans="3:4" ht="12.75">
      <c r="C164" s="131"/>
      <c r="D164" s="132" t="s">
        <v>324</v>
      </c>
    </row>
    <row r="165" spans="3:4" ht="12.75">
      <c r="C165" s="128">
        <v>14049</v>
      </c>
      <c r="D165" s="129" t="s">
        <v>393</v>
      </c>
    </row>
    <row r="166" spans="3:4" ht="12.75">
      <c r="C166" s="128"/>
      <c r="D166" s="130" t="s">
        <v>391</v>
      </c>
    </row>
    <row r="167" spans="3:4" ht="12.75">
      <c r="C167" s="126">
        <v>14052</v>
      </c>
      <c r="D167" s="127" t="s">
        <v>182</v>
      </c>
    </row>
    <row r="168" spans="3:4" ht="12.75">
      <c r="C168" s="128"/>
      <c r="D168" s="135" t="s">
        <v>343</v>
      </c>
    </row>
    <row r="169" spans="3:4" ht="12.75">
      <c r="C169" s="131"/>
      <c r="D169" s="136" t="s">
        <v>344</v>
      </c>
    </row>
    <row r="170" spans="3:4" ht="12.75">
      <c r="C170" s="6"/>
      <c r="D170" s="10"/>
    </row>
    <row r="171" spans="3:4" ht="12.75">
      <c r="C171" s="6"/>
      <c r="D171" s="10"/>
    </row>
    <row r="172" spans="3:4" ht="12.75">
      <c r="C172" s="6"/>
      <c r="D172" s="10"/>
    </row>
  </sheetData>
  <sheetProtection password="CAF9" sheet="1"/>
  <printOptions/>
  <pageMargins left="0.787401575" right="0.787401575" top="0.984251969" bottom="0.984251969"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U179"/>
  <sheetViews>
    <sheetView showGridLines="0" zoomScalePageLayoutView="0" workbookViewId="0" topLeftCell="A1">
      <selection activeCell="G55" sqref="G55"/>
    </sheetView>
  </sheetViews>
  <sheetFormatPr defaultColWidth="11.421875" defaultRowHeight="12.75"/>
  <cols>
    <col min="1" max="1" width="3.140625" style="0" customWidth="1"/>
    <col min="2" max="2" width="32.421875" style="0" customWidth="1"/>
    <col min="4" max="4" width="27.8515625" style="0" customWidth="1"/>
    <col min="5" max="5" width="10.7109375" style="0" customWidth="1"/>
    <col min="6" max="6" width="9.7109375" style="0" customWidth="1"/>
    <col min="7" max="7" width="29.421875" style="0" customWidth="1"/>
    <col min="8" max="8" width="15.421875" style="579" customWidth="1"/>
    <col min="9" max="9" width="4.421875" style="0" customWidth="1"/>
    <col min="10" max="10" width="32.00390625" style="579" customWidth="1"/>
    <col min="11" max="12" width="11.421875" style="579" customWidth="1"/>
    <col min="16" max="16" width="16.00390625" style="0" customWidth="1"/>
  </cols>
  <sheetData>
    <row r="1" spans="1:9" ht="27">
      <c r="A1" s="677" t="s">
        <v>1412</v>
      </c>
      <c r="B1" s="360"/>
      <c r="C1" s="360"/>
      <c r="D1" s="360"/>
      <c r="E1" s="360"/>
      <c r="F1" s="360"/>
      <c r="G1" s="360"/>
      <c r="I1" s="579"/>
    </row>
    <row r="2" spans="1:9" ht="18">
      <c r="A2" s="364" t="str">
        <f>lire!A2</f>
        <v> (Agroscope - Institut des sciences en durabilité agronomique IDU, Tänikon - V. 5.1/2015)</v>
      </c>
      <c r="B2" s="360"/>
      <c r="C2" s="360"/>
      <c r="D2" s="360"/>
      <c r="E2" s="360"/>
      <c r="F2" s="360"/>
      <c r="G2" s="360"/>
      <c r="I2" s="579"/>
    </row>
    <row r="3" spans="1:9" ht="18">
      <c r="A3" s="364"/>
      <c r="B3" s="716" t="s">
        <v>1130</v>
      </c>
      <c r="C3" s="581"/>
      <c r="D3" s="581"/>
      <c r="E3" s="581"/>
      <c r="F3" s="581"/>
      <c r="G3" s="581"/>
      <c r="I3" s="579"/>
    </row>
    <row r="4" spans="1:9" ht="15" customHeight="1">
      <c r="A4" s="364"/>
      <c r="B4" s="717" t="s">
        <v>1131</v>
      </c>
      <c r="C4" s="718"/>
      <c r="D4" s="581"/>
      <c r="E4" s="581"/>
      <c r="F4" s="581"/>
      <c r="G4" s="581"/>
      <c r="I4" s="579"/>
    </row>
    <row r="5" spans="1:21" ht="18">
      <c r="A5" s="364"/>
      <c r="B5" s="579"/>
      <c r="C5" s="678" t="s">
        <v>1132</v>
      </c>
      <c r="D5" s="360"/>
      <c r="E5" s="360"/>
      <c r="F5" s="360"/>
      <c r="G5" s="477" t="s">
        <v>1133</v>
      </c>
      <c r="I5" s="581"/>
      <c r="J5" s="581"/>
      <c r="K5" s="581"/>
      <c r="L5" s="581"/>
      <c r="M5" s="360"/>
      <c r="N5" s="360"/>
      <c r="O5" s="360"/>
      <c r="P5" s="579"/>
      <c r="R5" s="363">
        <v>0</v>
      </c>
      <c r="S5" s="366" t="s">
        <v>903</v>
      </c>
      <c r="T5" s="363"/>
      <c r="U5" s="363" t="s">
        <v>66</v>
      </c>
    </row>
    <row r="6" spans="1:21" ht="18">
      <c r="A6" s="360"/>
      <c r="B6" s="367" t="s">
        <v>1151</v>
      </c>
      <c r="C6" s="360"/>
      <c r="D6" s="368" t="s">
        <v>1134</v>
      </c>
      <c r="E6" s="369">
        <f ca="1">NOW()</f>
        <v>42619.51013472222</v>
      </c>
      <c r="F6" s="360"/>
      <c r="G6" s="360"/>
      <c r="I6" s="679"/>
      <c r="R6" s="363">
        <v>1</v>
      </c>
      <c r="S6" s="366" t="s">
        <v>901</v>
      </c>
      <c r="T6" s="363"/>
      <c r="U6" s="363" t="s">
        <v>442</v>
      </c>
    </row>
    <row r="7" spans="1:21" ht="18">
      <c r="A7" s="364"/>
      <c r="B7" s="370"/>
      <c r="C7" s="360"/>
      <c r="D7" s="360"/>
      <c r="E7" s="360"/>
      <c r="F7" s="360"/>
      <c r="G7" s="360"/>
      <c r="I7" s="680"/>
      <c r="R7" s="363">
        <v>2</v>
      </c>
      <c r="S7" s="366" t="s">
        <v>902</v>
      </c>
      <c r="T7" s="363"/>
      <c r="U7" s="363"/>
    </row>
    <row r="8" spans="1:21" ht="16.5" thickBot="1">
      <c r="A8" s="371"/>
      <c r="B8" s="372" t="s">
        <v>30</v>
      </c>
      <c r="C8" s="373"/>
      <c r="D8" s="374" t="s">
        <v>31</v>
      </c>
      <c r="E8" s="373"/>
      <c r="F8" s="373"/>
      <c r="G8" s="373"/>
      <c r="I8" s="680"/>
      <c r="R8" s="363">
        <v>3</v>
      </c>
      <c r="S8" s="569" t="s">
        <v>904</v>
      </c>
      <c r="T8" s="378">
        <f>Hypothèses!C24</f>
        <v>4.52</v>
      </c>
      <c r="U8" s="363"/>
    </row>
    <row r="9" spans="1:9" ht="15.75">
      <c r="A9" s="360"/>
      <c r="B9" s="490"/>
      <c r="C9" s="379"/>
      <c r="D9" s="487">
        <v>1011</v>
      </c>
      <c r="E9" s="380" t="s">
        <v>228</v>
      </c>
      <c r="F9" s="381"/>
      <c r="G9" s="381"/>
      <c r="I9" s="680"/>
    </row>
    <row r="10" spans="1:9" ht="16.5" thickBot="1">
      <c r="A10" s="360"/>
      <c r="B10" s="384" t="str">
        <f>VLOOKUP(D9,Maschinenliste!$A$17:$AE$966,3,0)</f>
        <v>Tracteur 105-124 kW  (143-169 ch)</v>
      </c>
      <c r="C10" s="385"/>
      <c r="D10" s="386"/>
      <c r="E10" s="387"/>
      <c r="F10" s="388"/>
      <c r="G10" s="388"/>
      <c r="I10" s="680"/>
    </row>
    <row r="11" spans="1:9" ht="12.75">
      <c r="A11" s="360"/>
      <c r="B11" s="392">
        <f>IF(ISERROR(VLOOKUP($D9,Spez!$A$4:$A$30,1,0)),"","Stop: la machine sélectionnée ne peut pas être calculée avec ce programme!")</f>
      </c>
      <c r="C11" s="381"/>
      <c r="D11" s="381"/>
      <c r="E11" s="381"/>
      <c r="F11" s="381"/>
      <c r="G11" s="381"/>
      <c r="I11" s="680"/>
    </row>
    <row r="12" spans="1:9" ht="12.75">
      <c r="A12" s="360"/>
      <c r="B12" s="393" t="s">
        <v>1152</v>
      </c>
      <c r="C12" s="394" t="str">
        <f>VLOOKUP($D9,Maschinenliste!$A$17:$AE$966,30,0)</f>
        <v>heures (h)</v>
      </c>
      <c r="D12" s="393" t="str">
        <f>VLOOKUP(E19,$R$5:$S$8,2,0)</f>
        <v>diesel</v>
      </c>
      <c r="E12" s="395">
        <f>IF(E19=3,$T$8,"")</f>
      </c>
      <c r="F12" s="381"/>
      <c r="G12" s="373"/>
      <c r="I12" s="680"/>
    </row>
    <row r="13" spans="1:9" ht="12.75">
      <c r="A13" s="360"/>
      <c r="B13" s="373"/>
      <c r="C13" s="399" t="str">
        <f>IF(ISERROR(VLOOKUP($D9,Spez!$D$4:$D$46,1,0)),"aucune saisie nécessaire","Veuillez insérer la puissance en kW")</f>
        <v>aucune saisie nécessaire</v>
      </c>
      <c r="D13" s="298"/>
      <c r="E13" s="400">
        <f>IF(ISERROR(VLOOKUP($D9,Spez!$D$4:$D$45,1,0)),"","voir désignation de la machine")</f>
      </c>
      <c r="F13" s="381"/>
      <c r="G13" s="373"/>
      <c r="I13" s="680"/>
    </row>
    <row r="14" spans="1:9" ht="12.75">
      <c r="A14" s="360"/>
      <c r="B14" s="403"/>
      <c r="C14" s="373"/>
      <c r="D14" s="373"/>
      <c r="E14" s="380"/>
      <c r="F14" s="381"/>
      <c r="G14" s="373"/>
      <c r="I14" s="680"/>
    </row>
    <row r="15" spans="1:9" ht="12.75">
      <c r="A15" s="360"/>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680"/>
    </row>
    <row r="16" spans="1:9" ht="12.75">
      <c r="A16" s="362"/>
      <c r="B16" s="362"/>
      <c r="C16" s="408"/>
      <c r="D16" s="409"/>
      <c r="E16" s="410"/>
      <c r="F16" s="411"/>
      <c r="G16" s="362"/>
      <c r="I16" s="680"/>
    </row>
    <row r="17" spans="1:9" ht="12.75">
      <c r="A17" s="360"/>
      <c r="B17" s="360"/>
      <c r="C17" s="412" t="s">
        <v>229</v>
      </c>
      <c r="D17" s="413">
        <f>VLOOKUP($D9,Maschinenliste!$A$17:$AE$966,4,0)</f>
        <v>115</v>
      </c>
      <c r="E17" s="414" t="e">
        <f>IF(VLOOKUP($D9,Spez!$G$4:$G$15,1,0),"Umrechnung",0)</f>
        <v>#N/A</v>
      </c>
      <c r="F17" s="360"/>
      <c r="G17" s="360"/>
      <c r="I17" s="680"/>
    </row>
    <row r="18" spans="1:9" ht="12.75">
      <c r="A18" s="360"/>
      <c r="B18" s="360"/>
      <c r="C18" s="412" t="s">
        <v>452</v>
      </c>
      <c r="D18" s="415">
        <f>IF(ISERROR(VLOOKUP($D9,Spez!$D$4:$D$46,1,0)),D17*E21,D13)</f>
        <v>115</v>
      </c>
      <c r="E18" s="416" t="s">
        <v>419</v>
      </c>
      <c r="F18" s="360"/>
      <c r="G18" s="360"/>
      <c r="I18" s="680"/>
    </row>
    <row r="19" spans="1:9" ht="12.75">
      <c r="A19" s="360"/>
      <c r="B19" s="360"/>
      <c r="C19" s="368"/>
      <c r="D19" s="417">
        <f>IF(ISERROR(VLOOKUP($D9,Spez!$D$48:$D$60,1,0)),IF(C12="heures (h)",1,0),0)</f>
        <v>1</v>
      </c>
      <c r="E19" s="417">
        <f>VLOOKUP(D9,Maschinenliste!$A$17:$AE$966,31,0)</f>
        <v>1</v>
      </c>
      <c r="F19" s="363"/>
      <c r="G19" s="360"/>
      <c r="I19" s="680"/>
    </row>
    <row r="20" spans="1:9" ht="12.75">
      <c r="A20" s="360"/>
      <c r="B20" s="360"/>
      <c r="C20" s="360"/>
      <c r="D20" s="418"/>
      <c r="E20" s="360"/>
      <c r="F20" s="360"/>
      <c r="G20" s="360"/>
      <c r="I20" s="680"/>
    </row>
    <row r="21" spans="1:9" ht="15.75">
      <c r="A21" s="581"/>
      <c r="B21" s="360"/>
      <c r="C21" s="360"/>
      <c r="D21" s="362"/>
      <c r="E21" s="681">
        <f>IF(ISERROR(VLOOKUP($D9,Spez!$O$4:$O$45,1,0)),1,VLOOKUP($D9,Maschinenliste!$A$17:$AE$966,28,0))</f>
        <v>1</v>
      </c>
      <c r="F21" s="420" t="s">
        <v>1167</v>
      </c>
      <c r="G21" s="421"/>
      <c r="I21" s="680"/>
    </row>
    <row r="22" spans="1:9" ht="13.5" thickBot="1">
      <c r="A22" s="360"/>
      <c r="B22" s="360"/>
      <c r="C22" s="360"/>
      <c r="D22" s="362"/>
      <c r="E22" s="362"/>
      <c r="F22" s="418"/>
      <c r="G22" s="362"/>
      <c r="I22" s="680"/>
    </row>
    <row r="23" spans="1:9" ht="12.75">
      <c r="A23" s="360"/>
      <c r="B23" s="360"/>
      <c r="C23" s="360"/>
      <c r="D23" s="408" t="s">
        <v>33</v>
      </c>
      <c r="E23" s="423" t="str">
        <f>IF(E19=1,"Saisie","")</f>
        <v>Saisie</v>
      </c>
      <c r="F23" s="299">
        <f>Hypothèses!C22</f>
        <v>1.47</v>
      </c>
      <c r="G23" s="424" t="s">
        <v>431</v>
      </c>
      <c r="I23" s="680"/>
    </row>
    <row r="24" spans="1:9" ht="13.5" thickBot="1">
      <c r="A24" s="360"/>
      <c r="B24" s="360"/>
      <c r="C24" s="360"/>
      <c r="D24" s="408" t="s">
        <v>94</v>
      </c>
      <c r="E24" s="423">
        <f>IF(E19=2,"Eingabe","")</f>
      </c>
      <c r="F24" s="300">
        <f>Hypothèses!C23</f>
        <v>1.45</v>
      </c>
      <c r="G24" s="425" t="s">
        <v>431</v>
      </c>
      <c r="I24" s="680"/>
    </row>
    <row r="25" spans="1:9" ht="12.75">
      <c r="A25" s="360"/>
      <c r="B25" s="426" t="s">
        <v>36</v>
      </c>
      <c r="C25" s="427" t="s">
        <v>37</v>
      </c>
      <c r="D25" s="428" t="s">
        <v>1452</v>
      </c>
      <c r="E25" s="429"/>
      <c r="F25" s="430"/>
      <c r="G25" s="425"/>
      <c r="I25" s="680"/>
    </row>
    <row r="26" spans="1:9" ht="12.75">
      <c r="A26" s="360"/>
      <c r="B26" s="477" t="s">
        <v>1189</v>
      </c>
      <c r="C26" s="360" t="s">
        <v>173</v>
      </c>
      <c r="D26" s="431">
        <f>VLOOKUP($D9,Maschinenliste!$A$17:$AE$966,5,0)</f>
        <v>163000</v>
      </c>
      <c r="E26" s="362"/>
      <c r="F26" s="756">
        <f>SUM(F27:F32)</f>
        <v>163000</v>
      </c>
      <c r="G26" s="425"/>
      <c r="I26" s="680"/>
    </row>
    <row r="27" spans="1:9" ht="12.75">
      <c r="A27" s="360"/>
      <c r="B27" s="736" t="s">
        <v>1190</v>
      </c>
      <c r="C27" s="360"/>
      <c r="D27" s="431"/>
      <c r="E27" s="362"/>
      <c r="F27" s="276">
        <f>D26</f>
        <v>163000</v>
      </c>
      <c r="G27" s="425"/>
      <c r="I27" s="680"/>
    </row>
    <row r="28" spans="1:9" ht="12.75">
      <c r="A28" s="360"/>
      <c r="B28" s="736" t="s">
        <v>1153</v>
      </c>
      <c r="C28" s="360"/>
      <c r="D28" s="431"/>
      <c r="E28" s="362"/>
      <c r="F28" s="276"/>
      <c r="G28" s="425"/>
      <c r="I28" s="680"/>
    </row>
    <row r="29" spans="1:9" ht="12.75">
      <c r="A29" s="360"/>
      <c r="B29" s="736" t="s">
        <v>1156</v>
      </c>
      <c r="C29" s="360"/>
      <c r="D29" s="431"/>
      <c r="E29" s="362"/>
      <c r="F29" s="276"/>
      <c r="G29" s="425"/>
      <c r="I29" s="680"/>
    </row>
    <row r="30" spans="1:9" ht="12.75">
      <c r="A30" s="360"/>
      <c r="B30" s="736" t="s">
        <v>1157</v>
      </c>
      <c r="C30" s="360"/>
      <c r="D30" s="431"/>
      <c r="E30" s="362"/>
      <c r="F30" s="276"/>
      <c r="G30" s="425"/>
      <c r="I30" s="680"/>
    </row>
    <row r="31" spans="1:9" ht="12.75">
      <c r="A31" s="360"/>
      <c r="B31" s="736" t="s">
        <v>1184</v>
      </c>
      <c r="C31" s="360"/>
      <c r="D31" s="431"/>
      <c r="E31" s="362"/>
      <c r="F31" s="276"/>
      <c r="G31" s="425"/>
      <c r="I31" s="680"/>
    </row>
    <row r="32" spans="1:9" ht="12.75">
      <c r="A32" s="360"/>
      <c r="B32" s="736" t="s">
        <v>1186</v>
      </c>
      <c r="C32" s="360"/>
      <c r="D32" s="431"/>
      <c r="E32" s="362"/>
      <c r="F32" s="276"/>
      <c r="G32" s="425"/>
      <c r="I32" s="680"/>
    </row>
    <row r="33" spans="1:9" ht="12.75">
      <c r="A33" s="360"/>
      <c r="B33" s="360" t="s">
        <v>39</v>
      </c>
      <c r="C33" s="360"/>
      <c r="D33" s="431"/>
      <c r="E33" s="362"/>
      <c r="F33" s="283" t="s">
        <v>442</v>
      </c>
      <c r="G33" s="425"/>
      <c r="I33" s="680"/>
    </row>
    <row r="34" spans="1:9" ht="12.75">
      <c r="A34" s="360"/>
      <c r="B34" s="360" t="s">
        <v>40</v>
      </c>
      <c r="C34" s="360" t="s">
        <v>82</v>
      </c>
      <c r="D34" s="431">
        <f>VLOOKUP($D9,Maschinenliste!$A$17:$AE$966,10,0)</f>
        <v>550</v>
      </c>
      <c r="E34" s="411" t="str">
        <f>$C12</f>
        <v>heures (h)</v>
      </c>
      <c r="F34" s="734">
        <f>SUM(F35:F40)</f>
        <v>550</v>
      </c>
      <c r="G34" s="425" t="str">
        <f>E34</f>
        <v>heures (h)</v>
      </c>
      <c r="I34" s="680"/>
    </row>
    <row r="35" spans="1:9" ht="12.75">
      <c r="A35" s="360"/>
      <c r="B35" s="719" t="str">
        <f aca="true" t="shared" si="0" ref="B35:B40">B27</f>
        <v>   Associé1=gérant de la machine, avec emplacement</v>
      </c>
      <c r="C35" s="360"/>
      <c r="D35" s="431"/>
      <c r="E35" s="411" t="str">
        <f aca="true" t="shared" si="1" ref="E35:E40">E$34</f>
        <v>heures (h)</v>
      </c>
      <c r="F35" s="276">
        <f>D34</f>
        <v>550</v>
      </c>
      <c r="G35" s="425" t="str">
        <f aca="true" t="shared" si="2" ref="G35:G40">G$34</f>
        <v>heures (h)</v>
      </c>
      <c r="I35" s="680"/>
    </row>
    <row r="36" spans="1:9" ht="12.75">
      <c r="A36" s="360"/>
      <c r="B36" s="719" t="str">
        <f t="shared" si="0"/>
        <v>   Associé2</v>
      </c>
      <c r="C36" s="360"/>
      <c r="D36" s="431"/>
      <c r="E36" s="411" t="str">
        <f t="shared" si="1"/>
        <v>heures (h)</v>
      </c>
      <c r="F36" s="276">
        <v>0</v>
      </c>
      <c r="G36" s="425" t="str">
        <f t="shared" si="2"/>
        <v>heures (h)</v>
      </c>
      <c r="I36" s="680"/>
    </row>
    <row r="37" spans="1:9" ht="12.75">
      <c r="A37" s="360"/>
      <c r="B37" s="719" t="str">
        <f t="shared" si="0"/>
        <v>   Associé3</v>
      </c>
      <c r="C37" s="360"/>
      <c r="D37" s="431"/>
      <c r="E37" s="411" t="str">
        <f t="shared" si="1"/>
        <v>heures (h)</v>
      </c>
      <c r="F37" s="276">
        <v>0</v>
      </c>
      <c r="G37" s="425" t="str">
        <f t="shared" si="2"/>
        <v>heures (h)</v>
      </c>
      <c r="I37" s="680"/>
    </row>
    <row r="38" spans="1:9" ht="12.75">
      <c r="A38" s="360"/>
      <c r="B38" s="719" t="str">
        <f t="shared" si="0"/>
        <v>   Associé4</v>
      </c>
      <c r="C38" s="360"/>
      <c r="D38" s="431"/>
      <c r="E38" s="411" t="str">
        <f t="shared" si="1"/>
        <v>heures (h)</v>
      </c>
      <c r="F38" s="276">
        <v>0</v>
      </c>
      <c r="G38" s="425" t="str">
        <f t="shared" si="2"/>
        <v>heures (h)</v>
      </c>
      <c r="I38" s="680"/>
    </row>
    <row r="39" spans="1:9" ht="12.75">
      <c r="A39" s="360"/>
      <c r="B39" s="719" t="str">
        <f t="shared" si="0"/>
        <v>   Associé5</v>
      </c>
      <c r="C39" s="360"/>
      <c r="D39" s="431"/>
      <c r="E39" s="411" t="str">
        <f t="shared" si="1"/>
        <v>heures (h)</v>
      </c>
      <c r="F39" s="276">
        <v>0</v>
      </c>
      <c r="G39" s="425" t="str">
        <f t="shared" si="2"/>
        <v>heures (h)</v>
      </c>
      <c r="I39" s="680"/>
    </row>
    <row r="40" spans="1:9" ht="12.75">
      <c r="A40" s="360"/>
      <c r="B40" s="719" t="str">
        <f t="shared" si="0"/>
        <v>   Associé6</v>
      </c>
      <c r="C40" s="360"/>
      <c r="D40" s="431"/>
      <c r="E40" s="411" t="str">
        <f t="shared" si="1"/>
        <v>heures (h)</v>
      </c>
      <c r="F40" s="276">
        <v>0</v>
      </c>
      <c r="G40" s="425" t="str">
        <f t="shared" si="2"/>
        <v>heures (h)</v>
      </c>
      <c r="I40" s="680"/>
    </row>
    <row r="41" spans="1:9" ht="12.75">
      <c r="A41" s="360"/>
      <c r="B41" s="360" t="s">
        <v>41</v>
      </c>
      <c r="C41" s="360" t="s">
        <v>42</v>
      </c>
      <c r="D41" s="431">
        <f>VLOOKUP($D9,Maschinenliste!$A$17:$AE$966,12,0)</f>
        <v>15</v>
      </c>
      <c r="E41" s="362"/>
      <c r="F41" s="276">
        <f>D41</f>
        <v>15</v>
      </c>
      <c r="G41" s="425"/>
      <c r="I41" s="680"/>
    </row>
    <row r="42" spans="1:9" ht="12.75">
      <c r="A42" s="360"/>
      <c r="B42" s="360" t="s">
        <v>43</v>
      </c>
      <c r="C42" s="360" t="s">
        <v>82</v>
      </c>
      <c r="D42" s="431">
        <f>VLOOKUP($D9,Maschinenliste!$A$17:$AE$966,13,0)</f>
        <v>10000</v>
      </c>
      <c r="E42" s="411" t="str">
        <f>C12</f>
        <v>heures (h)</v>
      </c>
      <c r="F42" s="276">
        <f>D42</f>
        <v>10000</v>
      </c>
      <c r="G42" s="425" t="str">
        <f>E42</f>
        <v>heures (h)</v>
      </c>
      <c r="I42" s="680"/>
    </row>
    <row r="43" spans="1:9" ht="12.75">
      <c r="A43" s="360"/>
      <c r="B43" s="360" t="s">
        <v>44</v>
      </c>
      <c r="C43" s="360" t="s">
        <v>175</v>
      </c>
      <c r="D43" s="432">
        <f>D34*D41/D42</f>
        <v>0.825</v>
      </c>
      <c r="E43" s="433"/>
      <c r="F43" s="434">
        <f>IF(LEN(F45)&gt;0,"",F34*F41/F42)</f>
        <v>0.825</v>
      </c>
      <c r="G43" s="425"/>
      <c r="I43" s="680"/>
    </row>
    <row r="44" spans="1:9" ht="12.75">
      <c r="A44" s="360"/>
      <c r="B44" s="360" t="s">
        <v>23</v>
      </c>
      <c r="C44" s="360" t="s">
        <v>45</v>
      </c>
      <c r="D44" s="431">
        <f>VLOOKUP($D9,Maschinenliste!$A$17:$AE$966,14,0)</f>
        <v>0.1</v>
      </c>
      <c r="E44" s="433"/>
      <c r="F44" s="435">
        <f>IF(LEN(F45)&gt;0,"",IF(F43&gt;0,IF(F43&lt;Hypothèses!$C$80,Hypothèses!$B$80,IF(AND(F43&gt;=Hypothèses!$C$80,F43&lt;Hypothèses!$C$79),Hypothèses!$B$79,IF(AND(F43&gt;=Hypothèses!$C$79,F43&lt;Hypothèses!$C$78),Hypothèses!$B$78,IF(AND(F43&gt;=Hypothèses!$C$78,F43&lt;Hypothèses!$C$77),Hypothèses!$B$77,IF(AND(F43&gt;=Hypothèses!$C$77,F43&lt;Hypothèses!$C$76),Hypothèses!$B$76,0))))),""))</f>
        <v>0.1</v>
      </c>
      <c r="G44" s="425"/>
      <c r="I44" s="680"/>
    </row>
    <row r="45" spans="1:9" ht="14.25">
      <c r="A45" s="360"/>
      <c r="B45" s="360" t="s">
        <v>46</v>
      </c>
      <c r="C45" s="360" t="s">
        <v>173</v>
      </c>
      <c r="D45" s="436"/>
      <c r="E45" s="437"/>
      <c r="F45" s="276"/>
      <c r="G45" s="425"/>
      <c r="I45" s="680"/>
    </row>
    <row r="46" spans="1:9" ht="12.75">
      <c r="A46" s="360"/>
      <c r="B46" s="360" t="s">
        <v>47</v>
      </c>
      <c r="C46" s="360" t="s">
        <v>175</v>
      </c>
      <c r="D46" s="431">
        <f>VLOOKUP($D9,Maschinenliste!$A$17:$AE$966,11,0)</f>
        <v>40</v>
      </c>
      <c r="E46" s="362"/>
      <c r="F46" s="734">
        <f aca="true" t="shared" si="3" ref="F46:F51">D46</f>
        <v>40</v>
      </c>
      <c r="G46" s="438">
        <f>IF(E19=0,"",$D18*F46*Hypothèses!$C$25)</f>
        <v>13.8</v>
      </c>
      <c r="I46" s="680"/>
    </row>
    <row r="47" spans="1:9" ht="12.75">
      <c r="A47" s="360"/>
      <c r="B47" s="360" t="s">
        <v>48</v>
      </c>
      <c r="C47" s="360" t="s">
        <v>45</v>
      </c>
      <c r="D47" s="431">
        <f>VLOOKUP($D9,Maschinenliste!$A$17:$AE$966,15,0)</f>
        <v>0.45</v>
      </c>
      <c r="E47" s="362"/>
      <c r="F47" s="734">
        <f t="shared" si="3"/>
        <v>0.45</v>
      </c>
      <c r="G47" s="425"/>
      <c r="I47" s="680"/>
    </row>
    <row r="48" spans="1:9" ht="12.75">
      <c r="A48" s="360"/>
      <c r="B48" s="360" t="s">
        <v>49</v>
      </c>
      <c r="C48" s="360" t="s">
        <v>176</v>
      </c>
      <c r="D48" s="431">
        <f>VLOOKUP($D9,Maschinenliste!$A$17:$AE$966,16,0)</f>
        <v>87</v>
      </c>
      <c r="E48" s="362"/>
      <c r="F48" s="276">
        <f t="shared" si="3"/>
        <v>87</v>
      </c>
      <c r="G48" s="425"/>
      <c r="I48" s="680"/>
    </row>
    <row r="49" spans="1:9" ht="12.75">
      <c r="A49" s="360"/>
      <c r="B49" s="360" t="s">
        <v>50</v>
      </c>
      <c r="C49" s="360" t="s">
        <v>51</v>
      </c>
      <c r="D49" s="440">
        <f>VLOOKUP($D9,Maschinenliste!$A$17:$AE$966,17,0)</f>
        <v>0.05</v>
      </c>
      <c r="E49" s="362"/>
      <c r="F49" s="735">
        <f t="shared" si="3"/>
        <v>0.05</v>
      </c>
      <c r="G49" s="425"/>
      <c r="I49" s="680"/>
    </row>
    <row r="50" spans="1:9" ht="12.75">
      <c r="A50" s="360"/>
      <c r="B50" s="360" t="s">
        <v>52</v>
      </c>
      <c r="C50" s="360" t="s">
        <v>175</v>
      </c>
      <c r="D50" s="432">
        <v>0.1</v>
      </c>
      <c r="E50" s="362"/>
      <c r="F50" s="277">
        <f t="shared" si="3"/>
        <v>0.1</v>
      </c>
      <c r="G50" s="425"/>
      <c r="I50" s="680"/>
    </row>
    <row r="51" spans="1:9" ht="12.75">
      <c r="A51" s="360"/>
      <c r="B51" s="360" t="s">
        <v>53</v>
      </c>
      <c r="C51" s="360"/>
      <c r="D51" s="432">
        <v>0</v>
      </c>
      <c r="E51" s="362"/>
      <c r="F51" s="277">
        <f t="shared" si="3"/>
        <v>0</v>
      </c>
      <c r="G51" s="425"/>
      <c r="I51" s="680"/>
    </row>
    <row r="52" spans="1:9" ht="12.75">
      <c r="A52" s="360"/>
      <c r="B52" s="360"/>
      <c r="C52" s="360"/>
      <c r="D52" s="430"/>
      <c r="E52" s="362"/>
      <c r="F52" s="430"/>
      <c r="G52" s="441"/>
      <c r="I52" s="682"/>
    </row>
    <row r="53" spans="1:9" ht="12.75">
      <c r="A53" s="360"/>
      <c r="B53" s="427" t="s">
        <v>54</v>
      </c>
      <c r="C53" s="442"/>
      <c r="D53" s="443" t="s">
        <v>67</v>
      </c>
      <c r="E53" s="444" t="s">
        <v>68</v>
      </c>
      <c r="F53" s="443" t="s">
        <v>67</v>
      </c>
      <c r="G53" s="445" t="s">
        <v>69</v>
      </c>
      <c r="I53" s="682"/>
    </row>
    <row r="54" spans="1:9" ht="12.75">
      <c r="A54" s="360"/>
      <c r="B54" s="360" t="s">
        <v>55</v>
      </c>
      <c r="C54" s="360"/>
      <c r="D54" s="446">
        <f>(D26-(D26*D44))/D41</f>
        <v>9780</v>
      </c>
      <c r="E54" s="362"/>
      <c r="F54" s="446">
        <f>IF(LEN(F45)&gt;0,(F26-F45)/F41,(F26-(F26*F44))/F41)</f>
        <v>9780</v>
      </c>
      <c r="G54" s="425"/>
      <c r="I54" s="682"/>
    </row>
    <row r="55" spans="1:9" ht="12.75">
      <c r="A55" s="360"/>
      <c r="B55" s="360" t="s">
        <v>56</v>
      </c>
      <c r="C55" s="360"/>
      <c r="D55" s="446">
        <f>(D26-(D44*D26))*Hypothèses!$C$13/100*0.6+(D44*D26*Hypothèses!$C$13/100)</f>
        <v>2608</v>
      </c>
      <c r="E55" s="362"/>
      <c r="F55" s="446">
        <f>IF(LEN(F45)&gt;0,(F26-F45)*G117*0.6+(F45*G117),(F26-(F44*F26))*G117*0.6+(F44*F26*G117))</f>
        <v>3651.2000000000003</v>
      </c>
      <c r="G55" s="720" t="s">
        <v>1135</v>
      </c>
      <c r="I55" s="682"/>
    </row>
    <row r="56" spans="1:9" ht="12.75">
      <c r="A56" s="360"/>
      <c r="B56" s="360" t="s">
        <v>57</v>
      </c>
      <c r="C56" s="360"/>
      <c r="D56" s="446">
        <f>IF(ISERROR(VLOOKUP($D9,Spez!$K$4:$K$36,1,0)),IF((VLOOKUP($D9,Maschinenliste!$A$17:$AE$966,23,0)&gt;0),D48*Hypothèses!$C$17,D48*Hypothèses!$C$18),D48*Hypothèses!$C$18)</f>
        <v>1131</v>
      </c>
      <c r="E56" s="362"/>
      <c r="F56" s="446">
        <f>IF(ISERROR(VLOOKUP($D9,Spez!$K$4:$K$36,1,0)),IF((VLOOKUP($D9,Maschinenliste!$A$17:$AE$966,23,0)&gt;0),F48*Hypothèses!$C$17,F48*Hypothèses!$C$18),F48*Hypothèses!$C$18)</f>
        <v>1131</v>
      </c>
      <c r="G56" s="720" t="s">
        <v>1135</v>
      </c>
      <c r="I56" s="682"/>
    </row>
    <row r="57" spans="1:9" ht="12.75">
      <c r="A57" s="360"/>
      <c r="B57" s="447" t="s">
        <v>58</v>
      </c>
      <c r="C57" s="447"/>
      <c r="D57" s="446">
        <f>VLOOKUP($D9,Maschinenliste!$A$17:$AE$966,29,0)</f>
        <v>806</v>
      </c>
      <c r="E57" s="362"/>
      <c r="F57" s="446">
        <f>VLOOKUP($D9,Maschinenliste!$A$17:$AE$966,29,0)</f>
        <v>806</v>
      </c>
      <c r="G57" s="720" t="s">
        <v>1135</v>
      </c>
      <c r="I57" s="682"/>
    </row>
    <row r="58" spans="1:9" ht="13.5" thickBot="1">
      <c r="A58" s="360"/>
      <c r="B58" s="448" t="s">
        <v>59</v>
      </c>
      <c r="C58" s="360"/>
      <c r="D58" s="449">
        <f>SUM(D54:D57)</f>
        <v>14325</v>
      </c>
      <c r="E58" s="450">
        <f>D58/D34</f>
        <v>26.045454545454547</v>
      </c>
      <c r="F58" s="449">
        <f>SUM(F54:F57)</f>
        <v>15368.2</v>
      </c>
      <c r="G58" s="451">
        <f>F58/F34</f>
        <v>27.94218181818182</v>
      </c>
      <c r="I58" s="682"/>
    </row>
    <row r="59" spans="1:9" ht="12.75" customHeight="1" thickTop="1">
      <c r="A59" s="360"/>
      <c r="B59" s="360"/>
      <c r="C59" s="360"/>
      <c r="D59" s="453"/>
      <c r="E59" s="454"/>
      <c r="F59" s="453"/>
      <c r="G59" s="455"/>
      <c r="I59" s="682"/>
    </row>
    <row r="60" spans="1:9" ht="12.75" customHeight="1">
      <c r="A60" s="360"/>
      <c r="B60" s="456" t="s">
        <v>60</v>
      </c>
      <c r="C60" s="360"/>
      <c r="D60" s="430"/>
      <c r="E60" s="454">
        <f>$D26/$D42*D47</f>
        <v>7.335000000000001</v>
      </c>
      <c r="F60" s="430"/>
      <c r="G60" s="455">
        <f>IF(F33="Occasion",$D26/$D42*F47,F26/F42*F47)</f>
        <v>7.335000000000001</v>
      </c>
      <c r="I60" s="682"/>
    </row>
    <row r="61" spans="1:9" ht="12.75" customHeight="1">
      <c r="A61" s="360"/>
      <c r="B61" s="456" t="s">
        <v>61</v>
      </c>
      <c r="C61" s="360"/>
      <c r="D61" s="430"/>
      <c r="E61" s="454">
        <f>IF(ISERROR(VLOOKUP($D9,Spez!$H$4:$H$36,1,0)),IF(ISERROR(VLOOKUP($D9,Spez!$G$4:$G$36,1,0)),IF($E19=0,0,IF($E19=1,$D18*Hypothèses!$C$25*D46*Hypothèses!$C$22,IF($E19=2,$D18*Hypothèses!$C$26*D46*Hypothèses!$C$23,IF($E19=3,$D18*Hypothèses!$C$26*D46*Hypothèses!$C$24,"?")))),IF($E19=1,$D18*Hypothèses!$C$25*D46*Hypothèses!$C$22/$D17*100,IF($E19=2,$D18*Hypothèses!$C$26*D46*Hypothèses!$C$23/$D17*100))),$D18*Hypothèses!$C$25*D46*Hypothèses!$C$22/$D17)</f>
        <v>20.286</v>
      </c>
      <c r="F61" s="430"/>
      <c r="G61" s="455">
        <f>IF(ISERROR(VLOOKUP($D9,Spez!$H$4:$H$36,1,0)),IF(ISERROR(VLOOKUP($D9,Spez!$G$4:$G$36,1,0)),IF($E19=0,0,IF($E19=1,$D18*Hypothèses!$C$25*F46*F$23,IF($E19=2,$D18*Hypothèses!$C$26*F46*F$24,IF($E19=3,$D18*Hypothèses!$C$26*F46*Hypothèses!$C$24,"?")))),IF($E19=1,$D18*Hypothèses!$C$25*F46*F$23/$D17*100,IF($E19=2,$D18*Hypothèses!$C$26*F46*F$24/$D17*100))),$D18*Hypothèses!$C$25*F46*F$23/$D17)</f>
        <v>20.286</v>
      </c>
      <c r="I61" s="682"/>
    </row>
    <row r="62" spans="1:9" ht="12.75" customHeight="1">
      <c r="A62" s="360"/>
      <c r="B62" s="456" t="s">
        <v>62</v>
      </c>
      <c r="C62" s="360"/>
      <c r="D62" s="430"/>
      <c r="E62" s="454">
        <f>IF(ISERROR(VLOOKUP($D9,Spez!$M$4:$M$19,1,0)),IF(VLOOKUP($D9,Maschinenliste!$A$17:$AE$966,31,0)=0,VLOOKUP($D9,Maschinenliste!$A$17:$AE$966,23,0),0),VLOOKUP($D9,Hypothèses!$B$30:$C$34,2,0))</f>
        <v>0</v>
      </c>
      <c r="F62" s="430"/>
      <c r="G62" s="796">
        <f>E62</f>
        <v>0</v>
      </c>
      <c r="I62" s="682"/>
    </row>
    <row r="63" spans="1:9" ht="12.75" customHeight="1" thickBot="1">
      <c r="A63" s="360"/>
      <c r="B63" s="457" t="s">
        <v>63</v>
      </c>
      <c r="C63" s="360"/>
      <c r="D63" s="430"/>
      <c r="E63" s="450">
        <f>SUM(E60:E62)</f>
        <v>27.621000000000002</v>
      </c>
      <c r="F63" s="430"/>
      <c r="G63" s="451">
        <f>SUM(G60:G62)</f>
        <v>27.621000000000002</v>
      </c>
      <c r="I63" s="682"/>
    </row>
    <row r="64" spans="1:9" ht="13.5" thickTop="1">
      <c r="A64" s="360"/>
      <c r="B64" s="360"/>
      <c r="C64" s="360"/>
      <c r="D64" s="430"/>
      <c r="E64" s="362"/>
      <c r="F64" s="430"/>
      <c r="G64" s="425"/>
      <c r="I64" s="682"/>
    </row>
    <row r="65" spans="1:9" ht="12.75">
      <c r="A65" s="360"/>
      <c r="B65" s="360" t="s">
        <v>64</v>
      </c>
      <c r="C65" s="360"/>
      <c r="D65" s="460">
        <f>IF(ISERROR(VLOOKUP($D17,Spez!$I$4:$I$14,1,0)),"","par charretée")</f>
      </c>
      <c r="E65" s="459">
        <f>IF(ISERROR(VLOOKUP($D9,Spez!$I$4:$I$14,1,0)),E58+E63,(E58+E63)*VLOOKUP($D9,Maschinenliste!$A$17:$AE$966,28,0))</f>
        <v>53.66645454545455</v>
      </c>
      <c r="F65" s="460">
        <f>IF(ISERROR(VLOOKUP($D17,Spez!$I$4:$I$14,1,0)),"","par charretée")</f>
      </c>
      <c r="G65" s="461">
        <f>IF(ISERROR(VLOOKUP($D9,Spez!$I$4:$I$14,1,0)),G58+G63,(G58+G63)*VLOOKUP($D9,Maschinenliste!$A$17:$AE$966,28,0))</f>
        <v>55.56318181818182</v>
      </c>
      <c r="I65" s="682"/>
    </row>
    <row r="66" spans="1:9" ht="13.5" thickBot="1">
      <c r="A66" s="360"/>
      <c r="B66" s="360" t="s">
        <v>65</v>
      </c>
      <c r="C66" s="360"/>
      <c r="D66" s="463">
        <f>IF(ISERROR(VLOOKUP($D17,Spez!$I$4:$I$14,1,0)),"","par charretée")</f>
      </c>
      <c r="E66" s="462">
        <f>E65*(1+D50+D51)</f>
        <v>59.03310000000001</v>
      </c>
      <c r="F66" s="463">
        <f>IF(ISERROR(VLOOKUP($D17,Spez!$I$4:$I$14,1,0)),"","par charretée")</f>
      </c>
      <c r="G66" s="464">
        <f>G65*(1+F50+F51)</f>
        <v>61.1195</v>
      </c>
      <c r="I66" s="682"/>
    </row>
    <row r="67" spans="1:9" ht="12.75">
      <c r="A67" s="360"/>
      <c r="B67" s="360"/>
      <c r="C67" s="360"/>
      <c r="D67" s="410">
        <f>IF(ISERROR(VLOOKUP($D17,Spez!$P$4:$P$30,1,0)),"","Fr. par charretée")</f>
      </c>
      <c r="E67" s="466">
        <f>IF(ISERROR(VLOOKUP($D9,Spez!$P$4:$P$30,1,0)),"",E66*VLOOKUP($D9,Maschinenliste!$A$17:$AE$966,28,0))</f>
      </c>
      <c r="F67" s="467">
        <f>IF(ISERROR(VLOOKUP($D17,Spez!$P$4:$P$30,1,0)),"","Fr. par charretée")</f>
      </c>
      <c r="G67" s="466">
        <f>IF(ISERROR(VLOOKUP($D9,Spez!$P$4:$P$30,1,0)),"",G66*VLOOKUP($D9,Maschinenliste!$A$17:$AE$966,28,0))</f>
      </c>
      <c r="I67" s="682"/>
    </row>
    <row r="68" spans="1:9" ht="13.5" thickBot="1">
      <c r="A68" s="581"/>
      <c r="B68" s="360" t="str">
        <f>IF(C20="heures (h)","","Tarif d'indemnisation (supp. compris) par heure")</f>
        <v>Tarif d'indemnisation (supp. compris) par heure</v>
      </c>
      <c r="C68" s="360"/>
      <c r="D68" s="410">
        <f>IF(E40="heures (h)","","Fr. par heure")</f>
      </c>
      <c r="E68" s="468">
        <f>IF(E40="heures (h)","",IF(ISERROR(VLOOKUP($D17,Spez!$P$4:$P$44,1,0)),IF($C20="heures (h)","",IF($C20="hectares",E66*$D23/100,E66*$D23)),E66*VLOOKUP($D17,Maschinenliste!$A$17:$AE$966,28,0)*$D23))</f>
      </c>
      <c r="F68" s="458">
        <f>IF(G40="heures (h)","","Fr. je heure")</f>
      </c>
      <c r="G68" s="468">
        <f>IF(G40="heures (h)","",IF(ISERROR(VLOOKUP($D17,Spez!$P$4:$P$44,1,0)),IF($C20="heures (h)","",IF($C20="hectares",G66*$D23/100,G66*$D23)),G66*VLOOKUP($D17,Maschinenliste!$A$17:$AE$966,28,0)*$D23))</f>
      </c>
      <c r="I68" s="682"/>
    </row>
    <row r="69" spans="1:9" ht="13.5" hidden="1" thickTop="1">
      <c r="A69" s="360"/>
      <c r="B69" s="368" t="s">
        <v>410</v>
      </c>
      <c r="C69" s="360"/>
      <c r="D69" s="362"/>
      <c r="E69" s="469">
        <f>IF(ISERROR(VLOOKUP($D9,Spez!$F$4:$F$87,1,0)),VLOOKUP($D9,Maschinenliste!$A$17:$AE$966,6,0)-E66,VLOOKUP($D9,Maschinenliste!$A$17:$AE$966,26,0)-E66)</f>
        <v>-0.033100000000011676</v>
      </c>
      <c r="F69" s="470"/>
      <c r="G69" s="471">
        <f>IF(ISERROR(VLOOKUP($D9,Spez!$F$5:$F$87,1,0)),VLOOKUP($D9,Maschinenliste!$A$17:$AE$966,6,0)-G66,VLOOKUP($D9,Maschinenliste!$A$17:$AE$966,28,0)-G66)</f>
        <v>-2.119500000000002</v>
      </c>
      <c r="I69" s="682"/>
    </row>
    <row r="70" spans="1:9" ht="13.5" hidden="1" thickTop="1">
      <c r="A70" s="360"/>
      <c r="B70" s="368" t="s">
        <v>411</v>
      </c>
      <c r="C70" s="360"/>
      <c r="D70" s="362"/>
      <c r="E70" s="473">
        <f>IF(ISERROR(VLOOKUP($D9,Spez!$F$4:$F$87,1,0)),VLOOKUP($D9,Maschinenliste!$A$17:$AE$966,7,0)-E66,VLOOKUP($D9,Maschinenliste!$A$17:$AE$966,27,0)-E66)</f>
        <v>-59.03310000000001</v>
      </c>
      <c r="F70" s="470"/>
      <c r="G70" s="471">
        <f>IF(ISERROR(VLOOKUP($D9,Spez!$F$5:$F$87,1,0)),VLOOKUP($D9,Maschinenliste!$A$17:$AE$966,7,0)-G66,VLOOKUP($D9,Maschinenliste!$A$17:$AE$966,29,0)-G66)</f>
        <v>-61.1195</v>
      </c>
      <c r="I70" s="682"/>
    </row>
    <row r="71" spans="1:9" ht="15.75" thickTop="1">
      <c r="A71" s="360"/>
      <c r="B71" s="368"/>
      <c r="C71" s="360"/>
      <c r="D71" s="362"/>
      <c r="E71" s="474"/>
      <c r="F71" s="475">
        <f>IF(F41*F40&gt;F42,"le degré d'utilisation dépasse 100% - veuillez corriger l'utilisation annuelle ou durée d'amortissement!","")</f>
      </c>
      <c r="G71" s="363"/>
      <c r="I71" s="682"/>
    </row>
    <row r="72" spans="1:9" ht="15.75">
      <c r="A72" s="360"/>
      <c r="B72" s="476" t="str">
        <f>IF(Hypothèses!$F$11&gt;0,"Les hypothèses générales ont été modifiées - le résultat (valeur par défaut) ne correspond pas à la valeur indicative officielle d’Agroscope.",IF(AND((OR(E69&gt;1,E69&lt;-1)),(OR(E70&gt;1,E70&lt;-1))),"ATTENTION - Vos données ne sont pas correctes","ok"))</f>
        <v>ok</v>
      </c>
      <c r="C72" s="360"/>
      <c r="D72" s="360"/>
      <c r="E72" s="477"/>
      <c r="F72" s="477"/>
      <c r="G72" s="363"/>
      <c r="I72" s="682"/>
    </row>
    <row r="73" spans="1:9" ht="12.75">
      <c r="A73" s="360"/>
      <c r="B73" s="478">
        <f>IF(Hypothèses!$F$11&gt;0,"",IF(B72="ok","",IF(OR(E69&gt;1,E69&lt;-1),"Veuillez vérifier la puissance en kW","ok")))</f>
      </c>
      <c r="C73" s="479"/>
      <c r="D73" s="360"/>
      <c r="E73" s="477"/>
      <c r="F73" s="477"/>
      <c r="G73" s="360"/>
      <c r="I73" s="682"/>
    </row>
    <row r="74" spans="1:9" ht="12.75">
      <c r="A74" s="360"/>
      <c r="B74" s="360" t="s">
        <v>1453</v>
      </c>
      <c r="C74" s="360"/>
      <c r="D74" s="360"/>
      <c r="E74" s="360"/>
      <c r="F74" s="360"/>
      <c r="G74" s="480">
        <f>(G66/E66)-1</f>
        <v>0.03534288390750251</v>
      </c>
      <c r="I74" s="682"/>
    </row>
    <row r="75" spans="1:9" ht="12.75">
      <c r="A75" s="360"/>
      <c r="B75" s="360"/>
      <c r="C75" s="360"/>
      <c r="D75" s="360"/>
      <c r="E75" s="360"/>
      <c r="F75" s="360"/>
      <c r="G75" s="360"/>
      <c r="I75" s="682"/>
    </row>
    <row r="76" spans="1:9" ht="24.75">
      <c r="A76" s="749" t="str">
        <f>A1</f>
        <v>TracSharing (Programme de calcul pour communauté de machines)</v>
      </c>
      <c r="I76" s="682"/>
    </row>
    <row r="77" spans="1:9" ht="12.75">
      <c r="A77" s="579"/>
      <c r="B77" s="579"/>
      <c r="C77" s="579"/>
      <c r="D77" s="579"/>
      <c r="E77" s="579"/>
      <c r="F77" s="579"/>
      <c r="G77" s="579"/>
      <c r="I77" s="682"/>
    </row>
    <row r="78" spans="1:9" ht="18">
      <c r="A78" s="683" t="s">
        <v>54</v>
      </c>
      <c r="B78" s="579"/>
      <c r="C78" s="579"/>
      <c r="D78" s="579"/>
      <c r="E78" s="579"/>
      <c r="F78" s="368" t="s">
        <v>1134</v>
      </c>
      <c r="G78" s="369">
        <f ca="1">NOW()</f>
        <v>42619.51013472222</v>
      </c>
      <c r="I78" s="682"/>
    </row>
    <row r="79" spans="1:9" ht="12.75" hidden="1">
      <c r="A79" s="579"/>
      <c r="B79" s="665"/>
      <c r="C79" s="223"/>
      <c r="D79" s="223"/>
      <c r="E79" s="684" t="s">
        <v>1154</v>
      </c>
      <c r="F79" s="684" t="s">
        <v>68</v>
      </c>
      <c r="G79" s="579"/>
      <c r="I79" s="682"/>
    </row>
    <row r="80" spans="1:9" ht="12.75" hidden="1">
      <c r="A80" s="579"/>
      <c r="B80" s="579"/>
      <c r="C80" s="6"/>
      <c r="D80" s="685" t="s">
        <v>1155</v>
      </c>
      <c r="E80" s="686">
        <f>F80*F34</f>
        <v>30559.75</v>
      </c>
      <c r="F80" s="687">
        <f>G65</f>
        <v>55.56318181818182</v>
      </c>
      <c r="G80" s="579"/>
      <c r="I80" s="682"/>
    </row>
    <row r="81" spans="1:9" ht="12.75" hidden="1">
      <c r="A81" s="665"/>
      <c r="B81" s="579"/>
      <c r="C81" s="6"/>
      <c r="D81" s="6"/>
      <c r="E81" s="6"/>
      <c r="F81" s="688"/>
      <c r="G81" s="579"/>
      <c r="I81" s="682"/>
    </row>
    <row r="82" spans="1:9" ht="12.75" hidden="1">
      <c r="A82" s="721" t="s">
        <v>1136</v>
      </c>
      <c r="B82" s="665"/>
      <c r="C82" s="6"/>
      <c r="D82" s="6"/>
      <c r="E82" s="684" t="s">
        <v>67</v>
      </c>
      <c r="F82" s="684" t="str">
        <f>G34</f>
        <v>heures (h)</v>
      </c>
      <c r="G82" s="579"/>
      <c r="I82" s="682"/>
    </row>
    <row r="83" spans="1:9" ht="12.75" hidden="1">
      <c r="A83" s="233" t="s">
        <v>1137</v>
      </c>
      <c r="B83" s="722" t="s">
        <v>1163</v>
      </c>
      <c r="C83" s="6"/>
      <c r="D83" s="6"/>
      <c r="E83" s="689">
        <f>F$80*F35</f>
        <v>30559.75</v>
      </c>
      <c r="F83" s="243">
        <f>F35</f>
        <v>550</v>
      </c>
      <c r="G83" s="579"/>
      <c r="I83" s="682"/>
    </row>
    <row r="84" spans="1:9" ht="12.75" hidden="1">
      <c r="A84" s="233" t="s">
        <v>1138</v>
      </c>
      <c r="B84" s="722" t="s">
        <v>1153</v>
      </c>
      <c r="C84" s="6"/>
      <c r="D84" s="6"/>
      <c r="E84" s="690">
        <f>F$80*F36</f>
        <v>0</v>
      </c>
      <c r="F84" s="130">
        <f>F36</f>
        <v>0</v>
      </c>
      <c r="G84" s="579"/>
      <c r="I84" s="682"/>
    </row>
    <row r="85" spans="1:9" ht="12.75" hidden="1">
      <c r="A85" s="233" t="s">
        <v>1139</v>
      </c>
      <c r="B85" s="722" t="s">
        <v>1156</v>
      </c>
      <c r="C85" s="6"/>
      <c r="D85" s="6"/>
      <c r="E85" s="690">
        <f>F$80*F37</f>
        <v>0</v>
      </c>
      <c r="F85" s="130">
        <f>F37</f>
        <v>0</v>
      </c>
      <c r="G85" s="579"/>
      <c r="I85" s="682"/>
    </row>
    <row r="86" spans="1:9" ht="12.75" hidden="1">
      <c r="A86" s="233" t="s">
        <v>1185</v>
      </c>
      <c r="B86" s="722" t="s">
        <v>1186</v>
      </c>
      <c r="C86" s="6"/>
      <c r="D86" s="6"/>
      <c r="E86" s="691">
        <f>F$80*F40</f>
        <v>0</v>
      </c>
      <c r="F86" s="132">
        <f>F40</f>
        <v>0</v>
      </c>
      <c r="G86" s="579"/>
      <c r="I86" s="682"/>
    </row>
    <row r="87" spans="1:9" ht="12.75">
      <c r="A87" s="233"/>
      <c r="B87" s="223"/>
      <c r="C87" s="6"/>
      <c r="D87" s="6"/>
      <c r="E87" s="6"/>
      <c r="F87" s="6"/>
      <c r="G87" s="579"/>
      <c r="I87" s="682"/>
    </row>
    <row r="88" spans="1:9" ht="12.75">
      <c r="A88" s="723" t="s">
        <v>1141</v>
      </c>
      <c r="B88" s="665"/>
      <c r="C88" s="6"/>
      <c r="D88" s="6"/>
      <c r="E88" s="6"/>
      <c r="F88" s="6"/>
      <c r="G88" s="579"/>
      <c r="I88" s="682"/>
    </row>
    <row r="89" spans="1:9" ht="12.75">
      <c r="A89" s="721" t="s">
        <v>1137</v>
      </c>
      <c r="B89" s="729" t="str">
        <f aca="true" t="shared" si="4" ref="B89:B94">B27</f>
        <v>   Associé1=gérant de la machine, avec emplacement</v>
      </c>
      <c r="C89" s="6"/>
      <c r="D89" s="6"/>
      <c r="E89" s="692">
        <f aca="true" t="shared" si="5" ref="E89:E94">IF(LEN(F$45)&gt;0,F$45/F$26*F27,F$44*F27)</f>
        <v>16300</v>
      </c>
      <c r="F89" s="11" t="s">
        <v>173</v>
      </c>
      <c r="G89" s="579"/>
      <c r="I89" s="682"/>
    </row>
    <row r="90" spans="1:9" ht="12.75">
      <c r="A90" s="233" t="s">
        <v>1138</v>
      </c>
      <c r="B90" s="729" t="str">
        <f t="shared" si="4"/>
        <v>   Associé2</v>
      </c>
      <c r="C90" s="6"/>
      <c r="D90" s="6"/>
      <c r="E90" s="692">
        <f t="shared" si="5"/>
        <v>0</v>
      </c>
      <c r="F90" s="11" t="s">
        <v>173</v>
      </c>
      <c r="G90" s="579"/>
      <c r="I90" s="682"/>
    </row>
    <row r="91" spans="1:9" ht="12.75">
      <c r="A91" s="233" t="s">
        <v>1139</v>
      </c>
      <c r="B91" s="729" t="str">
        <f t="shared" si="4"/>
        <v>   Associé3</v>
      </c>
      <c r="C91" s="6"/>
      <c r="D91" s="6"/>
      <c r="E91" s="692">
        <f t="shared" si="5"/>
        <v>0</v>
      </c>
      <c r="F91" s="11" t="s">
        <v>173</v>
      </c>
      <c r="G91" s="579"/>
      <c r="I91" s="682"/>
    </row>
    <row r="92" spans="1:9" ht="12.75">
      <c r="A92" s="233" t="s">
        <v>1140</v>
      </c>
      <c r="B92" s="729" t="str">
        <f t="shared" si="4"/>
        <v>   Associé4</v>
      </c>
      <c r="C92" s="6"/>
      <c r="D92" s="6"/>
      <c r="E92" s="692">
        <f t="shared" si="5"/>
        <v>0</v>
      </c>
      <c r="F92" s="11" t="s">
        <v>173</v>
      </c>
      <c r="G92" s="579"/>
      <c r="I92" s="682"/>
    </row>
    <row r="93" spans="1:9" ht="12.75">
      <c r="A93" s="233" t="s">
        <v>1183</v>
      </c>
      <c r="B93" s="729" t="str">
        <f t="shared" si="4"/>
        <v>   Associé5</v>
      </c>
      <c r="C93" s="6"/>
      <c r="D93" s="6"/>
      <c r="E93" s="692">
        <f t="shared" si="5"/>
        <v>0</v>
      </c>
      <c r="F93" s="11" t="s">
        <v>173</v>
      </c>
      <c r="G93" s="579"/>
      <c r="I93" s="682"/>
    </row>
    <row r="94" spans="1:9" ht="12.75">
      <c r="A94" s="233" t="s">
        <v>1185</v>
      </c>
      <c r="B94" s="729" t="str">
        <f t="shared" si="4"/>
        <v>   Associé6</v>
      </c>
      <c r="C94" s="6"/>
      <c r="D94" s="6"/>
      <c r="E94" s="692">
        <f t="shared" si="5"/>
        <v>0</v>
      </c>
      <c r="F94" s="11" t="s">
        <v>173</v>
      </c>
      <c r="G94" s="579"/>
      <c r="I94" s="682"/>
    </row>
    <row r="95" spans="1:9" ht="12.75">
      <c r="A95" s="233"/>
      <c r="B95" s="223"/>
      <c r="C95" s="6"/>
      <c r="D95" s="6"/>
      <c r="E95" s="6"/>
      <c r="F95" s="6"/>
      <c r="G95" s="579"/>
      <c r="I95" s="682"/>
    </row>
    <row r="96" spans="1:9" ht="15">
      <c r="A96" s="233" t="s">
        <v>1160</v>
      </c>
      <c r="B96" s="223"/>
      <c r="C96" s="6"/>
      <c r="D96" s="6"/>
      <c r="E96" s="684" t="s">
        <v>1154</v>
      </c>
      <c r="F96" s="732" t="s">
        <v>1168</v>
      </c>
      <c r="G96" s="733"/>
      <c r="I96" s="682"/>
    </row>
    <row r="97" spans="2:9" ht="12.75">
      <c r="B97" s="360" t="s">
        <v>57</v>
      </c>
      <c r="C97" s="6"/>
      <c r="D97" s="6"/>
      <c r="E97" s="692">
        <f>D56</f>
        <v>1131</v>
      </c>
      <c r="F97" s="736"/>
      <c r="G97" s="11" t="s">
        <v>1169</v>
      </c>
      <c r="I97" s="682"/>
    </row>
    <row r="98" spans="1:9" ht="12.75">
      <c r="A98" s="362"/>
      <c r="B98" s="362" t="s">
        <v>58</v>
      </c>
      <c r="C98" s="6"/>
      <c r="D98" s="6"/>
      <c r="E98" s="692">
        <f>D57</f>
        <v>806</v>
      </c>
      <c r="F98" s="736"/>
      <c r="G98" s="11" t="s">
        <v>1169</v>
      </c>
      <c r="I98" s="682"/>
    </row>
    <row r="99" spans="1:9" ht="12.75">
      <c r="A99" s="362"/>
      <c r="B99" s="456" t="s">
        <v>1308</v>
      </c>
      <c r="C99" s="6"/>
      <c r="D99" s="6"/>
      <c r="E99" s="692">
        <f>G60*F34</f>
        <v>4034.2500000000005</v>
      </c>
      <c r="F99" s="736"/>
      <c r="G99" s="11" t="s">
        <v>1170</v>
      </c>
      <c r="I99" s="682"/>
    </row>
    <row r="100" spans="1:9" ht="12.75">
      <c r="A100" s="724"/>
      <c r="B100" s="456" t="s">
        <v>1310</v>
      </c>
      <c r="C100" s="6"/>
      <c r="D100" s="6"/>
      <c r="E100" s="692">
        <f>(G61+G62)*F34</f>
        <v>11157.300000000001</v>
      </c>
      <c r="F100" s="737"/>
      <c r="G100" s="11" t="s">
        <v>1170</v>
      </c>
      <c r="I100" s="682"/>
    </row>
    <row r="101" spans="1:9" ht="12.75">
      <c r="A101" s="579"/>
      <c r="B101" s="724" t="s">
        <v>1158</v>
      </c>
      <c r="C101" s="579"/>
      <c r="D101" s="579"/>
      <c r="E101" s="730">
        <v>0</v>
      </c>
      <c r="F101" s="6" t="s">
        <v>173</v>
      </c>
      <c r="G101" s="579"/>
      <c r="I101" s="682"/>
    </row>
    <row r="102" spans="1:9" ht="12.75">
      <c r="A102" s="579"/>
      <c r="B102" s="724" t="s">
        <v>1159</v>
      </c>
      <c r="D102" s="579"/>
      <c r="E102" s="730">
        <v>0</v>
      </c>
      <c r="F102" s="6" t="s">
        <v>173</v>
      </c>
      <c r="G102" s="579"/>
      <c r="I102" s="682"/>
    </row>
    <row r="103" spans="1:9" ht="13.5" thickBot="1">
      <c r="A103" s="724" t="s">
        <v>1142</v>
      </c>
      <c r="B103" s="665"/>
      <c r="C103" s="579"/>
      <c r="D103" s="579"/>
      <c r="E103" s="694">
        <f>(IF(LEN(F97)&gt;0,F97,E97))+(IF(LEN(F98)&gt;0,F98,E98))+(IF(LEN(F99)&gt;0,F99,E99))+(IF(LEN(F100)&gt;0,F100,E100))+E101-E102</f>
        <v>17128.550000000003</v>
      </c>
      <c r="F103" s="6"/>
      <c r="G103" s="579"/>
      <c r="I103" s="682"/>
    </row>
    <row r="104" spans="1:9" ht="13.5" thickTop="1">
      <c r="A104" s="579"/>
      <c r="B104" s="724" t="s">
        <v>1188</v>
      </c>
      <c r="C104" s="579"/>
      <c r="D104" s="579"/>
      <c r="E104" s="6"/>
      <c r="F104" s="6"/>
      <c r="G104" s="579"/>
      <c r="I104" s="682"/>
    </row>
    <row r="105" spans="1:9" ht="13.5" thickBot="1">
      <c r="A105" s="579"/>
      <c r="B105" s="724" t="s">
        <v>1143</v>
      </c>
      <c r="C105" s="579"/>
      <c r="D105" s="579"/>
      <c r="E105" s="695">
        <f>F54+F55</f>
        <v>13431.2</v>
      </c>
      <c r="F105" s="6"/>
      <c r="G105" s="579"/>
      <c r="I105" s="682"/>
    </row>
    <row r="106" spans="1:9" ht="13.5" thickTop="1">
      <c r="A106" s="724" t="s">
        <v>1144</v>
      </c>
      <c r="B106" s="665"/>
      <c r="C106" s="579"/>
      <c r="D106" s="579"/>
      <c r="E106" s="696">
        <f>(E103+E105)/F34</f>
        <v>55.563181818181825</v>
      </c>
      <c r="F106" s="697"/>
      <c r="G106" s="698"/>
      <c r="I106" s="682"/>
    </row>
    <row r="107" spans="1:9" ht="12.75">
      <c r="A107" s="724"/>
      <c r="B107" s="665"/>
      <c r="C107" s="579"/>
      <c r="D107" s="579"/>
      <c r="E107" s="748"/>
      <c r="F107" s="697"/>
      <c r="G107" s="698"/>
      <c r="I107" s="682"/>
    </row>
    <row r="108" spans="1:9" ht="12.75">
      <c r="A108" s="721" t="s">
        <v>1182</v>
      </c>
      <c r="B108" s="223"/>
      <c r="C108" s="6"/>
      <c r="D108" s="6"/>
      <c r="E108" s="684" t="s">
        <v>1154</v>
      </c>
      <c r="F108" s="697"/>
      <c r="G108" s="698"/>
      <c r="I108" s="682"/>
    </row>
    <row r="109" spans="1:9" ht="12.75">
      <c r="A109" s="233" t="s">
        <v>1137</v>
      </c>
      <c r="B109" s="722" t="str">
        <f aca="true" t="shared" si="6" ref="B109:B114">B27</f>
        <v>   Associé1=gérant de la machine, avec emplacement</v>
      </c>
      <c r="C109" s="6"/>
      <c r="D109" s="6"/>
      <c r="E109" s="747">
        <f aca="true" t="shared" si="7" ref="E109:E114">E$106*F35</f>
        <v>30559.750000000004</v>
      </c>
      <c r="F109" s="697"/>
      <c r="G109" s="698"/>
      <c r="I109" s="682"/>
    </row>
    <row r="110" spans="1:9" ht="12.75">
      <c r="A110" s="233" t="s">
        <v>1138</v>
      </c>
      <c r="B110" s="722" t="str">
        <f t="shared" si="6"/>
        <v>   Associé2</v>
      </c>
      <c r="C110" s="6"/>
      <c r="D110" s="6"/>
      <c r="E110" s="747">
        <f t="shared" si="7"/>
        <v>0</v>
      </c>
      <c r="F110" s="697"/>
      <c r="G110" s="698"/>
      <c r="I110" s="682"/>
    </row>
    <row r="111" spans="1:9" ht="12.75">
      <c r="A111" s="233" t="s">
        <v>1139</v>
      </c>
      <c r="B111" s="722" t="str">
        <f t="shared" si="6"/>
        <v>   Associé3</v>
      </c>
      <c r="C111" s="6"/>
      <c r="D111" s="6"/>
      <c r="E111" s="747">
        <f t="shared" si="7"/>
        <v>0</v>
      </c>
      <c r="F111" s="697"/>
      <c r="G111" s="698"/>
      <c r="I111" s="682"/>
    </row>
    <row r="112" spans="1:9" ht="12.75">
      <c r="A112" s="233" t="s">
        <v>1140</v>
      </c>
      <c r="B112" s="722" t="str">
        <f t="shared" si="6"/>
        <v>   Associé4</v>
      </c>
      <c r="C112" s="6"/>
      <c r="D112" s="6"/>
      <c r="E112" s="747">
        <f t="shared" si="7"/>
        <v>0</v>
      </c>
      <c r="F112" s="697"/>
      <c r="G112" s="698"/>
      <c r="I112" s="682"/>
    </row>
    <row r="113" spans="1:9" ht="12.75">
      <c r="A113" s="233" t="s">
        <v>1183</v>
      </c>
      <c r="B113" s="722" t="str">
        <f t="shared" si="6"/>
        <v>   Associé5</v>
      </c>
      <c r="C113" s="6"/>
      <c r="D113" s="6"/>
      <c r="E113" s="747">
        <f t="shared" si="7"/>
        <v>0</v>
      </c>
      <c r="F113" s="697"/>
      <c r="G113" s="698"/>
      <c r="I113" s="682"/>
    </row>
    <row r="114" spans="1:9" ht="12.75">
      <c r="A114" s="233" t="s">
        <v>1185</v>
      </c>
      <c r="B114" s="722" t="str">
        <f t="shared" si="6"/>
        <v>   Associé6</v>
      </c>
      <c r="C114" s="6"/>
      <c r="D114" s="6"/>
      <c r="E114" s="747">
        <f t="shared" si="7"/>
        <v>0</v>
      </c>
      <c r="F114" s="697"/>
      <c r="G114" s="698"/>
      <c r="I114" s="682"/>
    </row>
    <row r="115" spans="1:9" ht="12.75">
      <c r="A115" s="693"/>
      <c r="B115" s="223"/>
      <c r="C115" s="6"/>
      <c r="D115" s="6"/>
      <c r="E115" s="699"/>
      <c r="F115" s="697"/>
      <c r="G115" s="698"/>
      <c r="I115" s="682"/>
    </row>
    <row r="116" spans="1:9" ht="12.75">
      <c r="A116" s="233"/>
      <c r="B116" s="223"/>
      <c r="C116" s="6"/>
      <c r="D116" s="6"/>
      <c r="E116" s="11" t="s">
        <v>1457</v>
      </c>
      <c r="F116" s="725" t="s">
        <v>1145</v>
      </c>
      <c r="G116" s="579"/>
      <c r="I116" s="682"/>
    </row>
    <row r="117" spans="1:9" ht="12.75">
      <c r="A117" s="233"/>
      <c r="B117" s="579"/>
      <c r="C117" s="726" t="s">
        <v>1146</v>
      </c>
      <c r="D117" s="700" t="s">
        <v>175</v>
      </c>
      <c r="E117" s="701">
        <v>0.035</v>
      </c>
      <c r="F117" s="731"/>
      <c r="G117" s="702">
        <f>IF(LEN(F117)&gt;0,F117,E117)</f>
        <v>0.035</v>
      </c>
      <c r="I117" s="682"/>
    </row>
    <row r="118" spans="1:9" ht="12.75">
      <c r="A118" s="233"/>
      <c r="B118" s="693"/>
      <c r="C118" s="6"/>
      <c r="D118" s="6"/>
      <c r="E118" s="6"/>
      <c r="F118" s="6"/>
      <c r="G118" s="579"/>
      <c r="I118" s="682"/>
    </row>
    <row r="119" spans="1:9" ht="12.75">
      <c r="A119" s="721" t="s">
        <v>1147</v>
      </c>
      <c r="B119" s="665"/>
      <c r="D119" s="579"/>
      <c r="E119" s="684" t="s">
        <v>1154</v>
      </c>
      <c r="F119" s="703" t="s">
        <v>1148</v>
      </c>
      <c r="G119" s="704"/>
      <c r="I119" s="682"/>
    </row>
    <row r="120" spans="1:9" ht="12.75">
      <c r="A120" s="233" t="s">
        <v>1137</v>
      </c>
      <c r="B120" s="727" t="str">
        <f aca="true" t="shared" si="8" ref="B120:B125">B27</f>
        <v>   Associé1=gérant de la machine, avec emplacement</v>
      </c>
      <c r="C120" s="705"/>
      <c r="D120" s="705"/>
      <c r="E120" s="708">
        <f aca="true" t="shared" si="9" ref="E120:E125">((F27-E89)/F$41)+((F27-E89)*G$117*0.6)+(E89*G$117)</f>
        <v>13431.2</v>
      </c>
      <c r="F120" s="705">
        <f aca="true" t="shared" si="10" ref="F120:F125">F27</f>
        <v>163000</v>
      </c>
      <c r="G120" s="706">
        <f aca="true" t="shared" si="11" ref="G120:G125">F120/F$26</f>
        <v>1</v>
      </c>
      <c r="I120" s="682"/>
    </row>
    <row r="121" spans="1:9" ht="12.75">
      <c r="A121" s="233" t="s">
        <v>1138</v>
      </c>
      <c r="B121" s="727" t="str">
        <f t="shared" si="8"/>
        <v>   Associé2</v>
      </c>
      <c r="C121" s="707"/>
      <c r="D121" s="707"/>
      <c r="E121" s="708">
        <f t="shared" si="9"/>
        <v>0</v>
      </c>
      <c r="F121" s="707">
        <f t="shared" si="10"/>
        <v>0</v>
      </c>
      <c r="G121" s="709">
        <f t="shared" si="11"/>
        <v>0</v>
      </c>
      <c r="I121" s="682"/>
    </row>
    <row r="122" spans="1:9" ht="12.75">
      <c r="A122" s="233" t="s">
        <v>1139</v>
      </c>
      <c r="B122" s="727" t="str">
        <f t="shared" si="8"/>
        <v>   Associé3</v>
      </c>
      <c r="C122" s="707"/>
      <c r="D122" s="707"/>
      <c r="E122" s="708">
        <f t="shared" si="9"/>
        <v>0</v>
      </c>
      <c r="F122" s="707">
        <f t="shared" si="10"/>
        <v>0</v>
      </c>
      <c r="G122" s="709">
        <f t="shared" si="11"/>
        <v>0</v>
      </c>
      <c r="I122" s="682"/>
    </row>
    <row r="123" spans="1:9" ht="12.75">
      <c r="A123" s="233" t="s">
        <v>1140</v>
      </c>
      <c r="B123" s="727" t="str">
        <f t="shared" si="8"/>
        <v>   Associé4</v>
      </c>
      <c r="C123" s="707"/>
      <c r="D123" s="707"/>
      <c r="E123" s="708">
        <f t="shared" si="9"/>
        <v>0</v>
      </c>
      <c r="F123" s="707">
        <f t="shared" si="10"/>
        <v>0</v>
      </c>
      <c r="G123" s="709">
        <f t="shared" si="11"/>
        <v>0</v>
      </c>
      <c r="I123" s="682"/>
    </row>
    <row r="124" spans="1:9" ht="12.75">
      <c r="A124" s="233" t="s">
        <v>1183</v>
      </c>
      <c r="B124" s="727" t="str">
        <f t="shared" si="8"/>
        <v>   Associé5</v>
      </c>
      <c r="C124" s="707"/>
      <c r="D124" s="707"/>
      <c r="E124" s="708">
        <f t="shared" si="9"/>
        <v>0</v>
      </c>
      <c r="F124" s="707">
        <f t="shared" si="10"/>
        <v>0</v>
      </c>
      <c r="G124" s="709">
        <f t="shared" si="11"/>
        <v>0</v>
      </c>
      <c r="I124" s="682"/>
    </row>
    <row r="125" spans="1:9" ht="12.75">
      <c r="A125" s="233" t="s">
        <v>1185</v>
      </c>
      <c r="B125" s="727" t="str">
        <f t="shared" si="8"/>
        <v>   Associé6</v>
      </c>
      <c r="C125" s="707"/>
      <c r="D125" s="707"/>
      <c r="E125" s="708">
        <f t="shared" si="9"/>
        <v>0</v>
      </c>
      <c r="F125" s="707">
        <f t="shared" si="10"/>
        <v>0</v>
      </c>
      <c r="G125" s="709">
        <f t="shared" si="11"/>
        <v>0</v>
      </c>
      <c r="I125" s="682"/>
    </row>
    <row r="126" spans="1:9" ht="13.5" thickBot="1">
      <c r="A126" s="6"/>
      <c r="B126" s="6"/>
      <c r="C126" s="579"/>
      <c r="D126" s="728" t="s">
        <v>1149</v>
      </c>
      <c r="E126" s="710">
        <f>SUM(E120:E125)</f>
        <v>13431.2</v>
      </c>
      <c r="F126" s="711">
        <f>E126/F26</f>
        <v>0.0824</v>
      </c>
      <c r="G126" s="712" t="s">
        <v>1161</v>
      </c>
      <c r="I126" s="682"/>
    </row>
    <row r="127" spans="1:9" ht="13.5" thickTop="1">
      <c r="A127" s="6"/>
      <c r="B127" s="6"/>
      <c r="C127" s="6"/>
      <c r="D127" s="6"/>
      <c r="E127" s="6"/>
      <c r="F127" s="713" t="s">
        <v>1162</v>
      </c>
      <c r="G127" s="579"/>
      <c r="I127" s="682"/>
    </row>
    <row r="128" spans="1:9" ht="12.75">
      <c r="A128" s="6"/>
      <c r="B128" s="6"/>
      <c r="C128" s="6"/>
      <c r="D128" s="6"/>
      <c r="E128" s="6"/>
      <c r="F128" s="713"/>
      <c r="G128" s="579"/>
      <c r="I128" s="682"/>
    </row>
    <row r="129" spans="1:9" ht="12.75">
      <c r="A129" s="10" t="s">
        <v>1176</v>
      </c>
      <c r="B129" s="6"/>
      <c r="C129" s="6"/>
      <c r="D129" s="6"/>
      <c r="E129" s="6"/>
      <c r="F129" s="713"/>
      <c r="G129" s="579"/>
      <c r="I129" s="682"/>
    </row>
    <row r="130" spans="1:9" ht="12.75">
      <c r="A130" s="579"/>
      <c r="B130" s="725" t="s">
        <v>1175</v>
      </c>
      <c r="C130" s="579"/>
      <c r="D130" s="725"/>
      <c r="E130" s="738"/>
      <c r="F130" s="557" t="s">
        <v>1174</v>
      </c>
      <c r="I130" s="682"/>
    </row>
    <row r="131" spans="1:9" ht="12.75">
      <c r="A131" s="233" t="s">
        <v>1137</v>
      </c>
      <c r="B131" s="751" t="s">
        <v>1173</v>
      </c>
      <c r="C131" s="705"/>
      <c r="D131" s="739" t="e">
        <f aca="true" t="shared" si="12" ref="D131:D136">E131/$E$137</f>
        <v>#DIV/0!</v>
      </c>
      <c r="E131" s="737"/>
      <c r="F131" s="713" t="str">
        <f aca="true" t="shared" si="13" ref="F131:F137">E$34</f>
        <v>heures (h)</v>
      </c>
      <c r="G131" s="740" t="s">
        <v>1172</v>
      </c>
      <c r="I131" s="682"/>
    </row>
    <row r="132" spans="1:9" ht="12.75">
      <c r="A132" s="233" t="s">
        <v>1138</v>
      </c>
      <c r="B132" s="752" t="s">
        <v>1191</v>
      </c>
      <c r="C132" s="750" t="str">
        <f>B28</f>
        <v>   Associé2</v>
      </c>
      <c r="D132" s="739" t="e">
        <f t="shared" si="12"/>
        <v>#DIV/0!</v>
      </c>
      <c r="E132" s="737"/>
      <c r="F132" s="713" t="str">
        <f t="shared" si="13"/>
        <v>heures (h)</v>
      </c>
      <c r="G132" s="740" t="s">
        <v>1172</v>
      </c>
      <c r="I132" s="682"/>
    </row>
    <row r="133" spans="1:9" ht="12.75">
      <c r="A133" s="233" t="s">
        <v>1139</v>
      </c>
      <c r="B133" s="752" t="s">
        <v>1191</v>
      </c>
      <c r="C133" s="750" t="str">
        <f>B29</f>
        <v>   Associé3</v>
      </c>
      <c r="D133" s="739" t="e">
        <f t="shared" si="12"/>
        <v>#DIV/0!</v>
      </c>
      <c r="E133" s="737"/>
      <c r="F133" s="713" t="str">
        <f t="shared" si="13"/>
        <v>heures (h)</v>
      </c>
      <c r="G133" s="740" t="s">
        <v>1172</v>
      </c>
      <c r="I133" s="682"/>
    </row>
    <row r="134" spans="1:9" ht="12.75">
      <c r="A134" s="233" t="s">
        <v>1140</v>
      </c>
      <c r="B134" s="752" t="s">
        <v>1191</v>
      </c>
      <c r="C134" s="750" t="str">
        <f>B30</f>
        <v>   Associé4</v>
      </c>
      <c r="D134" s="739" t="e">
        <f t="shared" si="12"/>
        <v>#DIV/0!</v>
      </c>
      <c r="E134" s="737"/>
      <c r="F134" s="713" t="str">
        <f t="shared" si="13"/>
        <v>heures (h)</v>
      </c>
      <c r="G134" s="740" t="s">
        <v>1172</v>
      </c>
      <c r="I134" s="682"/>
    </row>
    <row r="135" spans="1:9" ht="12.75">
      <c r="A135" s="233" t="s">
        <v>1183</v>
      </c>
      <c r="B135" s="752" t="s">
        <v>1191</v>
      </c>
      <c r="C135" s="750" t="str">
        <f>B31</f>
        <v>   Associé5</v>
      </c>
      <c r="D135" s="739" t="e">
        <f t="shared" si="12"/>
        <v>#DIV/0!</v>
      </c>
      <c r="E135" s="737"/>
      <c r="F135" s="713" t="str">
        <f t="shared" si="13"/>
        <v>heures (h)</v>
      </c>
      <c r="G135" s="740" t="s">
        <v>1172</v>
      </c>
      <c r="I135" s="682"/>
    </row>
    <row r="136" spans="1:9" ht="12.75">
      <c r="A136" s="233" t="s">
        <v>1185</v>
      </c>
      <c r="B136" s="752" t="s">
        <v>1191</v>
      </c>
      <c r="C136" s="750" t="str">
        <f>B32</f>
        <v>   Associé6</v>
      </c>
      <c r="D136" s="739" t="e">
        <f t="shared" si="12"/>
        <v>#DIV/0!</v>
      </c>
      <c r="E136" s="737"/>
      <c r="F136" s="713" t="str">
        <f t="shared" si="13"/>
        <v>heures (h)</v>
      </c>
      <c r="G136" s="740" t="s">
        <v>1172</v>
      </c>
      <c r="I136" s="682"/>
    </row>
    <row r="137" spans="1:9" ht="12.75">
      <c r="A137" s="6"/>
      <c r="B137" s="6"/>
      <c r="C137" s="6"/>
      <c r="D137" s="11" t="s">
        <v>168</v>
      </c>
      <c r="E137" s="741">
        <f>SUM(E131:E136)</f>
        <v>0</v>
      </c>
      <c r="F137" s="713" t="str">
        <f t="shared" si="13"/>
        <v>heures (h)</v>
      </c>
      <c r="G137" s="740" t="s">
        <v>1172</v>
      </c>
      <c r="I137" s="682"/>
    </row>
    <row r="138" spans="1:9" ht="12.75">
      <c r="A138" s="6"/>
      <c r="B138" s="6"/>
      <c r="C138" s="6"/>
      <c r="D138" s="6"/>
      <c r="E138" s="6"/>
      <c r="F138" s="713"/>
      <c r="G138" s="579"/>
      <c r="I138" s="682"/>
    </row>
    <row r="139" spans="1:9" ht="12.75">
      <c r="A139" s="721" t="s">
        <v>1150</v>
      </c>
      <c r="B139" s="579"/>
      <c r="C139" s="6"/>
      <c r="D139" s="6"/>
      <c r="E139" s="684" t="s">
        <v>1154</v>
      </c>
      <c r="F139" s="6"/>
      <c r="G139" s="579"/>
      <c r="I139" s="682"/>
    </row>
    <row r="140" spans="1:9" ht="12.75">
      <c r="A140" s="233" t="s">
        <v>1137</v>
      </c>
      <c r="B140" s="727" t="str">
        <f aca="true" t="shared" si="14" ref="B140:B145">B27</f>
        <v>   Associé1=gérant de la machine, avec emplacement</v>
      </c>
      <c r="C140" s="705"/>
      <c r="D140" s="705"/>
      <c r="E140" s="714">
        <f aca="true" t="shared" si="15" ref="E140:E145">IF($E$137=0,(E$106*F35)-E120,(E$106*F35)-E120+(D131*$E$130))</f>
        <v>17128.550000000003</v>
      </c>
      <c r="F140" s="715" t="s">
        <v>1177</v>
      </c>
      <c r="G140" s="579"/>
      <c r="I140" s="682"/>
    </row>
    <row r="141" spans="1:9" ht="12.75">
      <c r="A141" s="233" t="s">
        <v>1138</v>
      </c>
      <c r="B141" s="727" t="str">
        <f t="shared" si="14"/>
        <v>   Associé2</v>
      </c>
      <c r="C141" s="707"/>
      <c r="D141" s="707"/>
      <c r="E141" s="714">
        <f t="shared" si="15"/>
        <v>0</v>
      </c>
      <c r="F141" s="715" t="s">
        <v>1187</v>
      </c>
      <c r="G141" s="579"/>
      <c r="I141" s="682"/>
    </row>
    <row r="142" spans="1:9" ht="12.75">
      <c r="A142" s="233" t="s">
        <v>1139</v>
      </c>
      <c r="B142" s="727" t="str">
        <f t="shared" si="14"/>
        <v>   Associé3</v>
      </c>
      <c r="C142" s="707"/>
      <c r="D142" s="707"/>
      <c r="E142" s="714">
        <f t="shared" si="15"/>
        <v>0</v>
      </c>
      <c r="F142" s="11"/>
      <c r="G142" s="579"/>
      <c r="I142" s="682"/>
    </row>
    <row r="143" spans="1:9" ht="12.75">
      <c r="A143" s="233" t="s">
        <v>1140</v>
      </c>
      <c r="B143" s="727" t="str">
        <f t="shared" si="14"/>
        <v>   Associé4</v>
      </c>
      <c r="C143" s="707"/>
      <c r="D143" s="707"/>
      <c r="E143" s="714">
        <f t="shared" si="15"/>
        <v>0</v>
      </c>
      <c r="F143" s="11"/>
      <c r="G143" s="579"/>
      <c r="I143" s="682"/>
    </row>
    <row r="144" spans="1:9" ht="12.75">
      <c r="A144" s="233" t="s">
        <v>1183</v>
      </c>
      <c r="B144" s="727" t="str">
        <f t="shared" si="14"/>
        <v>   Associé5</v>
      </c>
      <c r="C144" s="707"/>
      <c r="D144" s="707"/>
      <c r="E144" s="714">
        <f t="shared" si="15"/>
        <v>0</v>
      </c>
      <c r="F144" s="11"/>
      <c r="G144" s="579"/>
      <c r="I144" s="682"/>
    </row>
    <row r="145" spans="1:9" ht="12.75">
      <c r="A145" s="233" t="s">
        <v>1185</v>
      </c>
      <c r="B145" s="727" t="str">
        <f t="shared" si="14"/>
        <v>   Associé6</v>
      </c>
      <c r="C145" s="707"/>
      <c r="D145" s="707"/>
      <c r="E145" s="714">
        <f t="shared" si="15"/>
        <v>0</v>
      </c>
      <c r="F145" s="11"/>
      <c r="G145" s="579"/>
      <c r="I145" s="682"/>
    </row>
    <row r="146" spans="1:9" ht="13.5" thickBot="1">
      <c r="A146" s="6"/>
      <c r="B146" s="579"/>
      <c r="C146" s="579"/>
      <c r="D146" s="728" t="s">
        <v>1142</v>
      </c>
      <c r="E146" s="710">
        <f>SUM(E140:E145)</f>
        <v>17128.550000000003</v>
      </c>
      <c r="F146" s="6"/>
      <c r="G146" s="579"/>
      <c r="I146" s="682"/>
    </row>
    <row r="147" spans="1:9" ht="13.5" thickTop="1">
      <c r="A147" s="579"/>
      <c r="B147" s="579"/>
      <c r="C147" s="579"/>
      <c r="D147" s="579"/>
      <c r="E147" s="579"/>
      <c r="F147" s="579"/>
      <c r="G147" s="579"/>
      <c r="I147" s="682"/>
    </row>
    <row r="148" spans="1:9" ht="12.75">
      <c r="A148" s="579"/>
      <c r="B148" s="579"/>
      <c r="C148" s="579"/>
      <c r="D148" s="579"/>
      <c r="E148" s="579"/>
      <c r="F148" s="579"/>
      <c r="G148" s="579"/>
      <c r="I148" s="682"/>
    </row>
    <row r="149" spans="1:9" ht="12.75">
      <c r="A149" s="579"/>
      <c r="B149" s="579"/>
      <c r="C149" s="579"/>
      <c r="D149" s="579"/>
      <c r="E149" s="579"/>
      <c r="F149" s="579"/>
      <c r="G149" s="579"/>
      <c r="I149" s="682"/>
    </row>
    <row r="150" s="579" customFormat="1" ht="12.75"/>
    <row r="151" s="579" customFormat="1" ht="12.75"/>
    <row r="152" s="579" customFormat="1" ht="12.75"/>
    <row r="153" s="579" customFormat="1" ht="12.75"/>
    <row r="154" s="579" customFormat="1" ht="12.75"/>
    <row r="155" s="579" customFormat="1" ht="12.75"/>
    <row r="156" s="579" customFormat="1" ht="12.75"/>
    <row r="157" s="579" customFormat="1" ht="12.75"/>
    <row r="158" s="579" customFormat="1" ht="12.75"/>
    <row r="159" s="579" customFormat="1" ht="12.75"/>
    <row r="160" s="579" customFormat="1" ht="12.75"/>
    <row r="161" s="579" customFormat="1" ht="12.75"/>
    <row r="162" s="579" customFormat="1" ht="12.75"/>
    <row r="163" s="579" customFormat="1" ht="12.75"/>
    <row r="164" s="579" customFormat="1" ht="12.75"/>
    <row r="165" s="579" customFormat="1" ht="12.75"/>
    <row r="166" s="579" customFormat="1" ht="12.75"/>
    <row r="174" spans="1:7" ht="12.75">
      <c r="A174" s="579"/>
      <c r="B174" s="579"/>
      <c r="C174" s="579"/>
      <c r="D174" s="579"/>
      <c r="E174" s="579"/>
      <c r="F174" s="579"/>
      <c r="G174" s="579"/>
    </row>
    <row r="175" spans="1:7" ht="12.75">
      <c r="A175" s="579"/>
      <c r="B175" s="579"/>
      <c r="C175" s="579"/>
      <c r="D175" s="579"/>
      <c r="E175" s="579"/>
      <c r="F175" s="579"/>
      <c r="G175" s="579"/>
    </row>
    <row r="176" spans="1:7" ht="12.75">
      <c r="A176" s="579"/>
      <c r="B176" s="579"/>
      <c r="C176" s="579"/>
      <c r="D176" s="579"/>
      <c r="E176" s="579"/>
      <c r="F176" s="579"/>
      <c r="G176" s="579"/>
    </row>
    <row r="177" spans="1:7" ht="12.75">
      <c r="A177" s="579"/>
      <c r="B177" s="579"/>
      <c r="C177" s="579"/>
      <c r="D177" s="579"/>
      <c r="E177" s="579"/>
      <c r="F177" s="579"/>
      <c r="G177" s="579"/>
    </row>
    <row r="178" spans="1:7" ht="12.75">
      <c r="A178" s="579"/>
      <c r="B178" s="579"/>
      <c r="C178" s="579"/>
      <c r="D178" s="579"/>
      <c r="E178" s="579"/>
      <c r="F178" s="579"/>
      <c r="G178" s="579"/>
    </row>
    <row r="179" spans="1:7" ht="12.75">
      <c r="A179" s="579"/>
      <c r="B179" s="579"/>
      <c r="C179" s="579"/>
      <c r="D179" s="579"/>
      <c r="E179" s="579"/>
      <c r="F179" s="579"/>
      <c r="G179" s="579"/>
    </row>
  </sheetData>
  <sheetProtection password="CAB9" sheet="1" formatColumns="0"/>
  <dataValidations count="10">
    <dataValidation allowBlank="1" showInputMessage="1" showErrorMessage="1" promptTitle="Répart. des coûts de réparations" prompt="Si un associé utilise la machine de facon irrégulière d'une année sur l'autre, les coûts de réparation majeurs doivent être répartis séparément. Pour cela saisissez &quot;0&quot; dans ce champ. Fixez ensuite la clef de répartition (voir ci-dessous)." sqref="F99"/>
    <dataValidation allowBlank="1" showInputMessage="1" showErrorMessage="1" prompt="Darunter zählen zum Beispiel:&#10;Wegpauschaulen für längere Anfahrtszeiten; Rüstpauschalen für längere Rüstzeiten auf Hof und Feld." sqref="F51"/>
    <dataValidation allowBlank="1" showInputMessage="1" showErrorMessage="1" prompt="Dieser Wert muss bei Occasionsmaschinen oder abgeschriebenen Maschinen erhöht werden!" sqref="F47"/>
    <dataValidation allowBlank="1" showInputMessage="1" showErrorMessage="1" prompt="Wie häufig wird die Maschine jährlich genutzt? (evtl. Schätzung)&#10;Eingabe in AE (Stunden, Hektaren, m3, Fuder etc.)" sqref="F34"/>
    <dataValidation type="list" allowBlank="1" showInputMessage="1" showErrorMessage="1" sqref="F33">
      <formula1>$U$5:$U$6</formula1>
    </dataValidation>
    <dataValidation allowBlank="1" showInputMessage="1" showErrorMessage="1" prompt="Après combien d'unités de travail (h, ha, ch, bal etc.) la machine est abîmée? (durée d'utilisation technique à partir de laquelle les coûts de réparation sont disproportionnés). " sqref="F42"/>
    <dataValidation allowBlank="1" showInputMessage="1" showErrorMessage="1" prompt="Saisie seulement, si on connaît la valeur résiduelle à l'avance. " sqref="F45"/>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type="list" allowBlank="1" showInputMessage="1" showErrorMessage="1" prompt="Wählen Sie den Code aus dem Maschinenkostenbericht&#10;oder der Maschinenliste (Datenblatt &quot;Maschinenliste&quot;)" sqref="D9">
      <formula1>Code</formula1>
    </dataValidation>
    <dataValidation allowBlank="1" showErrorMessage="1" prompt="Wie hoch kann der Eintauschpreis nach Ablauf der Abschreibungszeit geschätzt werden?" sqref="F27"/>
  </dataValidations>
  <hyperlinks>
    <hyperlink ref="A88" location="TracSharing!F41" display="Mutmasslicher Restwert pro Teilhaber (bei Eintausch / Verkauf der Maschine)"/>
    <hyperlink ref="C5" r:id="rId1" display="http://www.agridea-lindau.ch/software/fachgebiete/index.htm"/>
  </hyperlinks>
  <printOptions/>
  <pageMargins left="0.35433070866141736" right="0.15748031496062992" top="0.7874015748031497" bottom="0.6692913385826772" header="0.31496062992125984" footer="0.31496062992125984"/>
  <pageSetup horizontalDpi="600" verticalDpi="600" orientation="portrait" paperSize="9" scale="75" r:id="rId5"/>
  <drawing r:id="rId4"/>
  <legacyDrawing r:id="rId3"/>
</worksheet>
</file>

<file path=xl/worksheets/sheet11.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
    </sheetView>
  </sheetViews>
  <sheetFormatPr defaultColWidth="11.421875" defaultRowHeight="12.75"/>
  <cols>
    <col min="2" max="2" width="87.28125" style="0" customWidth="1"/>
    <col min="4" max="4" width="31.8515625" style="0" customWidth="1"/>
    <col min="5" max="5" width="20.140625" style="0" customWidth="1"/>
    <col min="7" max="7" width="11.421875" style="0" customWidth="1"/>
  </cols>
  <sheetData>
    <row r="1" spans="1:5" ht="15.75">
      <c r="A1" s="657" t="s">
        <v>1076</v>
      </c>
      <c r="D1" s="580" t="s">
        <v>941</v>
      </c>
      <c r="E1" s="579"/>
    </row>
    <row r="2" spans="4:5" ht="12.75">
      <c r="D2" s="579"/>
      <c r="E2" s="579"/>
    </row>
    <row r="3" spans="1:5" ht="14.25">
      <c r="A3" s="658" t="s">
        <v>151</v>
      </c>
      <c r="B3" s="659" t="s">
        <v>1077</v>
      </c>
      <c r="D3" s="572" t="s">
        <v>908</v>
      </c>
      <c r="E3" s="573" t="s">
        <v>909</v>
      </c>
    </row>
    <row r="4" spans="1:5" ht="14.25">
      <c r="A4" s="126">
        <v>1000</v>
      </c>
      <c r="B4" s="127" t="s">
        <v>1313</v>
      </c>
      <c r="D4" s="574" t="s">
        <v>910</v>
      </c>
      <c r="E4" s="575" t="s">
        <v>911</v>
      </c>
    </row>
    <row r="5" spans="1:5" ht="14.25">
      <c r="A5" s="128"/>
      <c r="B5" s="130" t="s">
        <v>1078</v>
      </c>
      <c r="D5" s="574" t="s">
        <v>912</v>
      </c>
      <c r="E5" s="575" t="s">
        <v>911</v>
      </c>
    </row>
    <row r="6" spans="1:5" ht="14.25">
      <c r="A6" s="128"/>
      <c r="B6" s="130" t="s">
        <v>1079</v>
      </c>
      <c r="D6" s="574" t="s">
        <v>913</v>
      </c>
      <c r="E6" s="575" t="s">
        <v>914</v>
      </c>
    </row>
    <row r="7" spans="1:5" ht="14.25">
      <c r="A7" s="128"/>
      <c r="B7" s="660" t="s">
        <v>1080</v>
      </c>
      <c r="D7" s="574" t="s">
        <v>915</v>
      </c>
      <c r="E7" s="575" t="s">
        <v>916</v>
      </c>
    </row>
    <row r="8" spans="1:5" ht="14.25">
      <c r="A8" s="128"/>
      <c r="B8" s="135" t="s">
        <v>1081</v>
      </c>
      <c r="D8" s="574" t="s">
        <v>917</v>
      </c>
      <c r="E8" s="575" t="s">
        <v>918</v>
      </c>
    </row>
    <row r="9" spans="1:5" ht="14.25">
      <c r="A9" s="128"/>
      <c r="B9" s="135" t="s">
        <v>1082</v>
      </c>
      <c r="D9" s="574" t="s">
        <v>919</v>
      </c>
      <c r="E9" s="575" t="s">
        <v>920</v>
      </c>
    </row>
    <row r="10" spans="1:5" ht="14.25">
      <c r="A10" s="128"/>
      <c r="B10" s="135" t="s">
        <v>1083</v>
      </c>
      <c r="D10" s="574" t="s">
        <v>921</v>
      </c>
      <c r="E10" s="576" t="s">
        <v>922</v>
      </c>
    </row>
    <row r="11" spans="1:5" ht="14.25">
      <c r="A11" s="128"/>
      <c r="B11" s="135" t="s">
        <v>1084</v>
      </c>
      <c r="D11" s="574" t="s">
        <v>923</v>
      </c>
      <c r="E11" s="575" t="s">
        <v>924</v>
      </c>
    </row>
    <row r="12" spans="1:5" ht="14.25">
      <c r="A12" s="128"/>
      <c r="B12" s="130" t="s">
        <v>1085</v>
      </c>
      <c r="D12" s="574" t="s">
        <v>925</v>
      </c>
      <c r="E12" s="575" t="s">
        <v>926</v>
      </c>
    </row>
    <row r="13" spans="1:5" ht="14.25">
      <c r="A13" s="131"/>
      <c r="B13" s="132"/>
      <c r="D13" s="574" t="s">
        <v>3</v>
      </c>
      <c r="E13" s="575" t="s">
        <v>927</v>
      </c>
    </row>
    <row r="14" spans="1:5" ht="14.25">
      <c r="A14" s="126">
        <v>1030</v>
      </c>
      <c r="B14" s="127" t="s">
        <v>490</v>
      </c>
      <c r="D14" s="574" t="s">
        <v>928</v>
      </c>
      <c r="E14" s="575" t="s">
        <v>929</v>
      </c>
    </row>
    <row r="15" spans="1:5" ht="14.25">
      <c r="A15" s="131"/>
      <c r="B15" s="133" t="s">
        <v>1086</v>
      </c>
      <c r="D15" s="574" t="s">
        <v>930</v>
      </c>
      <c r="E15" s="575" t="s">
        <v>439</v>
      </c>
    </row>
    <row r="16" spans="1:5" ht="14.25">
      <c r="A16" s="126">
        <v>1080</v>
      </c>
      <c r="B16" s="127" t="s">
        <v>494</v>
      </c>
      <c r="D16" s="574" t="s">
        <v>1165</v>
      </c>
      <c r="E16" s="575" t="s">
        <v>1166</v>
      </c>
    </row>
    <row r="17" spans="1:5" ht="16.5">
      <c r="A17" s="131"/>
      <c r="B17" s="132" t="s">
        <v>1087</v>
      </c>
      <c r="D17" s="574" t="s">
        <v>931</v>
      </c>
      <c r="E17" s="575" t="s">
        <v>932</v>
      </c>
    </row>
    <row r="18" spans="1:5" ht="14.25">
      <c r="A18" s="126">
        <v>1123</v>
      </c>
      <c r="B18" s="127" t="s">
        <v>498</v>
      </c>
      <c r="D18" s="574" t="s">
        <v>933</v>
      </c>
      <c r="E18" s="575" t="s">
        <v>934</v>
      </c>
    </row>
    <row r="19" spans="1:5" ht="14.25">
      <c r="A19" s="128"/>
      <c r="B19" s="135" t="s">
        <v>1088</v>
      </c>
      <c r="D19" s="574" t="s">
        <v>935</v>
      </c>
      <c r="E19" s="575" t="s">
        <v>936</v>
      </c>
    </row>
    <row r="20" spans="1:5" ht="14.25">
      <c r="A20" s="131"/>
      <c r="B20" s="134" t="s">
        <v>1089</v>
      </c>
      <c r="D20" s="574" t="s">
        <v>937</v>
      </c>
      <c r="E20" s="575" t="s">
        <v>938</v>
      </c>
    </row>
    <row r="21" spans="1:5" ht="25.5">
      <c r="A21" s="661">
        <v>1130</v>
      </c>
      <c r="B21" s="662" t="s">
        <v>1090</v>
      </c>
      <c r="D21" s="574" t="s">
        <v>939</v>
      </c>
      <c r="E21" s="575" t="s">
        <v>940</v>
      </c>
    </row>
    <row r="22" spans="1:5" ht="14.25">
      <c r="A22" s="128"/>
      <c r="B22" s="135" t="s">
        <v>1088</v>
      </c>
      <c r="D22" s="577" t="s">
        <v>908</v>
      </c>
      <c r="E22" s="578" t="s">
        <v>82</v>
      </c>
    </row>
    <row r="23" spans="1:2" ht="12.75">
      <c r="A23" s="128"/>
      <c r="B23" s="135" t="s">
        <v>1089</v>
      </c>
    </row>
    <row r="24" spans="1:5" ht="12.75">
      <c r="A24" s="128"/>
      <c r="B24" s="135" t="s">
        <v>1091</v>
      </c>
      <c r="D24" s="9" t="s">
        <v>83</v>
      </c>
      <c r="E24" s="579"/>
    </row>
    <row r="25" spans="1:2" ht="25.5">
      <c r="A25" s="661">
        <v>1131</v>
      </c>
      <c r="B25" s="662" t="s">
        <v>1092</v>
      </c>
    </row>
    <row r="26" spans="1:2" ht="12.75">
      <c r="A26" s="128"/>
      <c r="B26" s="135" t="s">
        <v>1088</v>
      </c>
    </row>
    <row r="27" spans="1:2" ht="12.75">
      <c r="A27" s="128"/>
      <c r="B27" s="135" t="s">
        <v>1093</v>
      </c>
    </row>
    <row r="28" spans="1:2" ht="12.75">
      <c r="A28" s="131"/>
      <c r="B28" s="134" t="s">
        <v>1091</v>
      </c>
    </row>
    <row r="29" spans="1:2" ht="12.75">
      <c r="A29" s="126">
        <v>1140</v>
      </c>
      <c r="B29" s="127" t="s">
        <v>502</v>
      </c>
    </row>
    <row r="30" spans="1:2" ht="12.75">
      <c r="A30" s="131"/>
      <c r="B30" s="132" t="s">
        <v>1094</v>
      </c>
    </row>
    <row r="31" spans="1:2" ht="12.75">
      <c r="A31" s="126">
        <v>1141</v>
      </c>
      <c r="B31" s="127" t="s">
        <v>503</v>
      </c>
    </row>
    <row r="32" spans="1:2" ht="12.75">
      <c r="A32" s="131"/>
      <c r="B32" s="134" t="s">
        <v>1095</v>
      </c>
    </row>
    <row r="33" spans="1:2" ht="12.75">
      <c r="A33" s="126">
        <v>1142</v>
      </c>
      <c r="B33" s="127" t="s">
        <v>504</v>
      </c>
    </row>
    <row r="34" spans="1:2" ht="12.75">
      <c r="A34" s="131"/>
      <c r="B34" s="134" t="s">
        <v>1096</v>
      </c>
    </row>
    <row r="35" spans="1:2" ht="12.75">
      <c r="A35" s="126">
        <v>1143</v>
      </c>
      <c r="B35" s="127" t="s">
        <v>505</v>
      </c>
    </row>
    <row r="36" spans="1:2" ht="12.75">
      <c r="A36" s="131"/>
      <c r="B36" s="134" t="s">
        <v>1097</v>
      </c>
    </row>
    <row r="37" spans="1:2" ht="12.75">
      <c r="A37" s="126">
        <v>3000</v>
      </c>
      <c r="B37" s="127" t="s">
        <v>1098</v>
      </c>
    </row>
    <row r="38" spans="1:2" ht="12.75">
      <c r="A38" s="223"/>
      <c r="B38" s="135" t="s">
        <v>1099</v>
      </c>
    </row>
    <row r="39" spans="1:2" ht="12.75">
      <c r="A39" s="131"/>
      <c r="B39" s="134" t="s">
        <v>1100</v>
      </c>
    </row>
    <row r="40" spans="1:2" ht="12.75">
      <c r="A40" s="126">
        <v>3020</v>
      </c>
      <c r="B40" s="127" t="s">
        <v>553</v>
      </c>
    </row>
    <row r="41" spans="1:2" ht="12.75">
      <c r="A41" s="128"/>
      <c r="B41" s="135" t="s">
        <v>1099</v>
      </c>
    </row>
    <row r="42" spans="1:2" ht="12.75">
      <c r="A42" s="131"/>
      <c r="B42" s="134" t="s">
        <v>1100</v>
      </c>
    </row>
    <row r="43" spans="1:2" ht="12.75">
      <c r="A43" s="126">
        <v>5134</v>
      </c>
      <c r="B43" s="127" t="s">
        <v>625</v>
      </c>
    </row>
    <row r="44" spans="1:2" ht="12.75">
      <c r="A44" s="131"/>
      <c r="B44" s="134" t="s">
        <v>1314</v>
      </c>
    </row>
    <row r="45" spans="1:2" ht="12.75">
      <c r="A45" s="128">
        <v>5142</v>
      </c>
      <c r="B45" s="127" t="s">
        <v>628</v>
      </c>
    </row>
    <row r="46" spans="1:2" ht="12.75">
      <c r="A46" s="128">
        <v>-5144</v>
      </c>
      <c r="B46" s="663" t="s">
        <v>1101</v>
      </c>
    </row>
    <row r="47" spans="1:2" ht="12.75">
      <c r="A47" s="126">
        <v>5150</v>
      </c>
      <c r="B47" s="127" t="s">
        <v>632</v>
      </c>
    </row>
    <row r="48" spans="1:2" ht="12.75">
      <c r="A48" s="128"/>
      <c r="B48" s="135" t="s">
        <v>1102</v>
      </c>
    </row>
    <row r="49" spans="1:2" ht="12.75">
      <c r="A49" s="131"/>
      <c r="B49" s="134" t="s">
        <v>1103</v>
      </c>
    </row>
    <row r="50" spans="1:2" ht="12.75">
      <c r="A50" s="126">
        <v>6020</v>
      </c>
      <c r="B50" s="127" t="s">
        <v>646</v>
      </c>
    </row>
    <row r="51" spans="1:2" ht="12.75">
      <c r="A51" s="131"/>
      <c r="B51" s="134" t="s">
        <v>1104</v>
      </c>
    </row>
    <row r="52" spans="1:2" ht="12.75">
      <c r="A52" s="126">
        <v>7000</v>
      </c>
      <c r="B52" s="127" t="s">
        <v>702</v>
      </c>
    </row>
    <row r="53" spans="1:2" ht="12.75">
      <c r="A53" s="128"/>
      <c r="B53" s="130" t="s">
        <v>1105</v>
      </c>
    </row>
    <row r="54" spans="1:2" ht="12.75">
      <c r="A54" s="131"/>
      <c r="B54" s="132" t="s">
        <v>1106</v>
      </c>
    </row>
    <row r="55" spans="1:2" ht="12.75">
      <c r="A55" s="126">
        <v>7061</v>
      </c>
      <c r="B55" s="127" t="s">
        <v>705</v>
      </c>
    </row>
    <row r="56" spans="1:2" ht="12.75">
      <c r="A56" s="131"/>
      <c r="B56" s="132" t="s">
        <v>1107</v>
      </c>
    </row>
    <row r="57" spans="1:2" ht="12.75">
      <c r="A57" s="126">
        <v>8003</v>
      </c>
      <c r="B57" s="127" t="s">
        <v>1108</v>
      </c>
    </row>
    <row r="58" spans="1:2" ht="12.75">
      <c r="A58" s="131"/>
      <c r="B58" s="132" t="s">
        <v>1109</v>
      </c>
    </row>
    <row r="59" spans="1:2" ht="12.75">
      <c r="A59" s="126">
        <v>8013</v>
      </c>
      <c r="B59" s="127" t="s">
        <v>711</v>
      </c>
    </row>
    <row r="60" spans="1:2" ht="12.75">
      <c r="A60" s="128"/>
      <c r="B60" s="130" t="s">
        <v>1110</v>
      </c>
    </row>
    <row r="61" spans="1:2" ht="12.75">
      <c r="A61" s="128"/>
      <c r="B61" s="130" t="s">
        <v>1111</v>
      </c>
    </row>
    <row r="62" spans="1:2" ht="12.75">
      <c r="A62" s="131"/>
      <c r="B62" s="132" t="s">
        <v>1112</v>
      </c>
    </row>
    <row r="63" spans="1:2" ht="12.75">
      <c r="A63" s="128">
        <v>8052</v>
      </c>
      <c r="B63" s="129" t="s">
        <v>1113</v>
      </c>
    </row>
    <row r="64" spans="1:2" ht="12.75">
      <c r="A64" s="131"/>
      <c r="B64" s="132" t="s">
        <v>1114</v>
      </c>
    </row>
    <row r="65" spans="1:2" ht="12.75">
      <c r="A65" s="128">
        <v>9040</v>
      </c>
      <c r="B65" s="129" t="s">
        <v>739</v>
      </c>
    </row>
    <row r="66" spans="1:2" ht="12.75">
      <c r="A66" s="128"/>
      <c r="B66" s="130" t="s">
        <v>1114</v>
      </c>
    </row>
    <row r="67" spans="1:2" ht="12.75">
      <c r="A67" s="126">
        <v>9080</v>
      </c>
      <c r="B67" s="127" t="s">
        <v>753</v>
      </c>
    </row>
    <row r="68" spans="1:2" ht="12.75">
      <c r="A68" s="131"/>
      <c r="B68" s="134" t="s">
        <v>1115</v>
      </c>
    </row>
    <row r="69" spans="1:2" ht="12.75">
      <c r="A69" s="126">
        <v>9100</v>
      </c>
      <c r="B69" s="127" t="s">
        <v>762</v>
      </c>
    </row>
    <row r="70" spans="1:2" ht="12.75">
      <c r="A70" s="131"/>
      <c r="B70" s="134" t="s">
        <v>1115</v>
      </c>
    </row>
    <row r="71" spans="1:2" ht="12.75">
      <c r="A71" s="126">
        <v>9120</v>
      </c>
      <c r="B71" s="127" t="s">
        <v>769</v>
      </c>
    </row>
    <row r="72" spans="1:2" ht="12.75">
      <c r="A72" s="131"/>
      <c r="B72" s="134" t="s">
        <v>1116</v>
      </c>
    </row>
    <row r="73" spans="1:2" ht="12.75">
      <c r="A73" s="128">
        <v>9121</v>
      </c>
      <c r="B73" s="129" t="s">
        <v>770</v>
      </c>
    </row>
    <row r="74" spans="1:2" ht="12.75">
      <c r="A74" s="128"/>
      <c r="B74" s="135" t="s">
        <v>1490</v>
      </c>
    </row>
    <row r="75" spans="1:2" ht="12.75">
      <c r="A75" s="126">
        <v>9200</v>
      </c>
      <c r="B75" s="127" t="s">
        <v>785</v>
      </c>
    </row>
    <row r="76" spans="1:2" ht="12.75">
      <c r="A76" s="128"/>
      <c r="B76" s="130" t="s">
        <v>1117</v>
      </c>
    </row>
    <row r="77" spans="1:2" ht="12.75">
      <c r="A77" s="131"/>
      <c r="B77" s="132" t="s">
        <v>1106</v>
      </c>
    </row>
    <row r="78" spans="1:2" ht="12.75">
      <c r="A78" s="797">
        <v>12000</v>
      </c>
      <c r="B78" s="798" t="s">
        <v>831</v>
      </c>
    </row>
    <row r="79" spans="1:2" ht="12.75">
      <c r="A79" s="797"/>
      <c r="B79" s="799" t="s">
        <v>1315</v>
      </c>
    </row>
    <row r="80" spans="1:2" ht="12.75">
      <c r="A80" s="126">
        <v>12009</v>
      </c>
      <c r="B80" s="127" t="s">
        <v>838</v>
      </c>
    </row>
    <row r="81" spans="1:2" ht="12.75">
      <c r="A81" s="128"/>
      <c r="B81" s="135" t="s">
        <v>1316</v>
      </c>
    </row>
    <row r="82" spans="1:2" ht="12.75">
      <c r="A82" s="131"/>
      <c r="B82" s="134" t="s">
        <v>1317</v>
      </c>
    </row>
    <row r="83" spans="1:2" ht="12.75">
      <c r="A83" s="126">
        <v>13020</v>
      </c>
      <c r="B83" s="127" t="s">
        <v>1118</v>
      </c>
    </row>
    <row r="84" spans="1:2" ht="12.75">
      <c r="A84" s="128"/>
      <c r="B84" s="130" t="s">
        <v>1119</v>
      </c>
    </row>
    <row r="85" spans="1:2" ht="12.75">
      <c r="A85" s="131"/>
      <c r="B85" s="132" t="s">
        <v>1120</v>
      </c>
    </row>
    <row r="86" spans="1:2" ht="12.75">
      <c r="A86" s="126">
        <v>14048</v>
      </c>
      <c r="B86" s="127" t="s">
        <v>877</v>
      </c>
    </row>
    <row r="87" spans="1:2" ht="12.75">
      <c r="A87" s="131"/>
      <c r="B87" s="132" t="s">
        <v>1121</v>
      </c>
    </row>
    <row r="88" spans="1:2" ht="12.75">
      <c r="A88" s="126">
        <v>14053</v>
      </c>
      <c r="B88" s="127" t="s">
        <v>20</v>
      </c>
    </row>
    <row r="89" spans="1:2" ht="12.75">
      <c r="A89" s="128"/>
      <c r="B89" s="135" t="s">
        <v>1410</v>
      </c>
    </row>
    <row r="90" spans="1:2" ht="12.75">
      <c r="A90" s="131"/>
      <c r="B90" s="136" t="s">
        <v>1411</v>
      </c>
    </row>
  </sheetData>
  <sheetProtection password="CAF9" sheet="1" formatColumns="0"/>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99"/>
  <sheetViews>
    <sheetView zoomScalePageLayoutView="0" workbookViewId="0" topLeftCell="A1">
      <selection activeCell="D38" sqref="D38"/>
    </sheetView>
  </sheetViews>
  <sheetFormatPr defaultColWidth="11.421875" defaultRowHeight="12.75"/>
  <sheetData>
    <row r="1" ht="23.25">
      <c r="A1" s="290" t="s">
        <v>327</v>
      </c>
    </row>
    <row r="3" spans="1:23" ht="12.75">
      <c r="A3" t="s">
        <v>409</v>
      </c>
      <c r="D3" t="s">
        <v>477</v>
      </c>
      <c r="F3" t="s">
        <v>428</v>
      </c>
      <c r="G3" t="s">
        <v>408</v>
      </c>
      <c r="H3" t="s">
        <v>326</v>
      </c>
      <c r="I3" t="s">
        <v>1312</v>
      </c>
      <c r="K3" t="s">
        <v>325</v>
      </c>
      <c r="M3" t="s">
        <v>1311</v>
      </c>
      <c r="N3" t="s">
        <v>226</v>
      </c>
      <c r="O3" t="s">
        <v>458</v>
      </c>
      <c r="P3" t="s">
        <v>459</v>
      </c>
      <c r="S3" s="557" t="s">
        <v>1129</v>
      </c>
      <c r="W3" s="557" t="s">
        <v>1171</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s="746">
        <v>1105</v>
      </c>
      <c r="N10" s="9">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4:23" ht="12.75">
      <c r="D17">
        <v>7002</v>
      </c>
      <c r="G17">
        <v>14063</v>
      </c>
      <c r="K17">
        <v>1148</v>
      </c>
      <c r="N17">
        <v>3025</v>
      </c>
      <c r="O17">
        <v>3025</v>
      </c>
      <c r="P17">
        <v>3025</v>
      </c>
      <c r="S17">
        <v>1072</v>
      </c>
      <c r="W17">
        <v>9128</v>
      </c>
    </row>
    <row r="18" spans="4:23" ht="12.75">
      <c r="D18">
        <v>7003</v>
      </c>
      <c r="F18">
        <v>8063</v>
      </c>
      <c r="K18">
        <v>1149</v>
      </c>
      <c r="N18">
        <v>3026</v>
      </c>
      <c r="O18">
        <v>3026</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S23">
        <v>1082</v>
      </c>
      <c r="W23">
        <v>9134</v>
      </c>
    </row>
    <row r="24" spans="4:23" ht="12.75">
      <c r="D24">
        <v>8067</v>
      </c>
      <c r="F24">
        <v>8069</v>
      </c>
      <c r="K24">
        <v>14045</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160</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23"/>
      <c r="F59">
        <v>15033</v>
      </c>
    </row>
    <row r="61" ht="12.75">
      <c r="F61">
        <v>4006</v>
      </c>
    </row>
    <row r="62" ht="12.75">
      <c r="F62">
        <v>4007</v>
      </c>
    </row>
    <row r="63" ht="12.75">
      <c r="F63">
        <v>14041</v>
      </c>
    </row>
    <row r="64" ht="12.75">
      <c r="F64">
        <v>7050</v>
      </c>
    </row>
    <row r="65" ht="12.75">
      <c r="F65">
        <v>7051</v>
      </c>
    </row>
    <row r="96" spans="3:15" ht="12.75">
      <c r="C96" s="6"/>
      <c r="E96" s="6"/>
      <c r="F96" s="6"/>
      <c r="G96" s="6"/>
      <c r="H96" s="6"/>
      <c r="I96" s="6"/>
      <c r="J96" s="6"/>
      <c r="K96" s="6"/>
      <c r="L96" s="6"/>
      <c r="M96" s="6"/>
      <c r="N96" s="6"/>
      <c r="O96" s="6"/>
    </row>
    <row r="98" ht="12.75">
      <c r="D98" s="6"/>
    </row>
    <row r="99" ht="12.75">
      <c r="D99" s="223"/>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92"/>
  <sheetViews>
    <sheetView tabSelected="1" zoomScale="107" zoomScaleNormal="107" zoomScalePageLayoutView="0" workbookViewId="0" topLeftCell="A1">
      <selection activeCell="G51" sqref="G51"/>
    </sheetView>
  </sheetViews>
  <sheetFormatPr defaultColWidth="11.421875" defaultRowHeight="12.75"/>
  <cols>
    <col min="1" max="1" width="5.7109375" style="0" customWidth="1"/>
    <col min="2" max="2" width="6.28125" style="0" customWidth="1"/>
    <col min="5" max="5" width="38.57421875" style="0" customWidth="1"/>
    <col min="6" max="6" width="15.140625" style="0" customWidth="1"/>
    <col min="8" max="8" width="19.421875" style="0" customWidth="1"/>
    <col min="9" max="9" width="14.00390625" style="0" customWidth="1"/>
    <col min="10" max="10" width="28.00390625" style="0" customWidth="1"/>
    <col min="11" max="12" width="11.421875" style="6" customWidth="1"/>
    <col min="14" max="14" width="0" style="0" hidden="1" customWidth="1"/>
  </cols>
  <sheetData>
    <row r="1" spans="1:10" ht="31.5">
      <c r="A1" s="550" t="s">
        <v>1401</v>
      </c>
      <c r="B1" s="6"/>
      <c r="C1" s="6"/>
      <c r="D1" s="6"/>
      <c r="E1" s="6"/>
      <c r="F1" s="6"/>
      <c r="G1" s="6"/>
      <c r="H1" s="6"/>
      <c r="I1" s="6"/>
      <c r="J1" s="230"/>
    </row>
    <row r="2" spans="1:10" ht="18">
      <c r="A2" s="229" t="s">
        <v>1461</v>
      </c>
      <c r="B2" s="6"/>
      <c r="C2" s="6"/>
      <c r="D2" s="6"/>
      <c r="E2" s="6"/>
      <c r="F2" s="6"/>
      <c r="G2" s="6"/>
      <c r="H2" s="6"/>
      <c r="I2" s="6"/>
      <c r="J2" s="230"/>
    </row>
    <row r="3" spans="1:10" ht="18">
      <c r="A3" s="229"/>
      <c r="B3" s="6"/>
      <c r="C3" s="6"/>
      <c r="D3" s="6"/>
      <c r="E3" s="6"/>
      <c r="F3" s="6"/>
      <c r="G3" s="6"/>
      <c r="H3" s="6"/>
      <c r="I3" s="6"/>
      <c r="J3" s="230"/>
    </row>
    <row r="4" spans="1:10" ht="20.25">
      <c r="A4" s="229"/>
      <c r="B4" s="590" t="s">
        <v>1498</v>
      </c>
      <c r="C4" s="6"/>
      <c r="D4" s="6"/>
      <c r="E4" s="6"/>
      <c r="F4" s="234"/>
      <c r="G4" s="6"/>
      <c r="H4" s="6"/>
      <c r="I4" s="6"/>
      <c r="J4" s="230"/>
    </row>
    <row r="5" spans="1:10" ht="18">
      <c r="A5" s="229"/>
      <c r="B5" s="229"/>
      <c r="C5" s="6"/>
      <c r="D5" s="6"/>
      <c r="E5" s="6"/>
      <c r="F5" s="6"/>
      <c r="G5" s="6"/>
      <c r="H5" s="6"/>
      <c r="I5" s="6"/>
      <c r="J5" s="230"/>
    </row>
    <row r="6" spans="1:10" ht="12.75">
      <c r="A6" s="6"/>
      <c r="B6" s="6" t="s">
        <v>146</v>
      </c>
      <c r="C6" s="6"/>
      <c r="D6" s="6"/>
      <c r="E6" s="6"/>
      <c r="F6" s="6"/>
      <c r="G6" s="6"/>
      <c r="H6" s="6"/>
      <c r="I6" s="6"/>
      <c r="J6" s="230"/>
    </row>
    <row r="7" spans="1:10" ht="12.75">
      <c r="A7" s="6"/>
      <c r="B7" s="795" t="s">
        <v>1309</v>
      </c>
      <c r="C7" s="6"/>
      <c r="D7" s="6"/>
      <c r="E7" s="6"/>
      <c r="F7" s="6"/>
      <c r="G7" s="6"/>
      <c r="H7" s="6"/>
      <c r="I7" s="6"/>
      <c r="J7" s="230"/>
    </row>
    <row r="8" spans="1:10" ht="12.75">
      <c r="A8" s="6"/>
      <c r="B8" s="795" t="s">
        <v>1444</v>
      </c>
      <c r="C8" s="6"/>
      <c r="D8" s="6"/>
      <c r="E8" s="6"/>
      <c r="F8" s="6"/>
      <c r="G8" s="6"/>
      <c r="H8" s="6"/>
      <c r="I8" s="6"/>
      <c r="J8" s="230"/>
    </row>
    <row r="9" spans="1:10" ht="12.75">
      <c r="A9" s="6"/>
      <c r="B9" s="11" t="s">
        <v>1445</v>
      </c>
      <c r="C9" s="6"/>
      <c r="D9" s="6"/>
      <c r="E9" s="6"/>
      <c r="F9" s="6"/>
      <c r="G9" s="6"/>
      <c r="H9" s="6"/>
      <c r="I9" s="6"/>
      <c r="J9" s="230"/>
    </row>
    <row r="10" spans="1:10" ht="12.75">
      <c r="A10" s="6"/>
      <c r="B10" s="551" t="s">
        <v>135</v>
      </c>
      <c r="C10" s="6"/>
      <c r="D10" s="6"/>
      <c r="E10" s="6"/>
      <c r="F10" s="6"/>
      <c r="G10" s="6"/>
      <c r="H10" s="6"/>
      <c r="I10" s="579"/>
      <c r="J10" s="230"/>
    </row>
    <row r="11" spans="1:10" ht="12.75">
      <c r="A11" s="6"/>
      <c r="B11" s="11" t="s">
        <v>1499</v>
      </c>
      <c r="C11" s="6"/>
      <c r="D11" s="6"/>
      <c r="E11" s="6"/>
      <c r="F11" s="6"/>
      <c r="G11" s="6"/>
      <c r="H11" s="6"/>
      <c r="I11" s="579"/>
      <c r="J11" s="230"/>
    </row>
    <row r="12" spans="1:10" ht="12.75">
      <c r="A12" s="6"/>
      <c r="B12" s="232"/>
      <c r="C12" s="6"/>
      <c r="D12" s="6"/>
      <c r="E12" s="6"/>
      <c r="F12" s="6"/>
      <c r="G12" s="6"/>
      <c r="H12" s="6"/>
      <c r="I12" s="6"/>
      <c r="J12" s="230"/>
    </row>
    <row r="13" spans="1:10" ht="12.75">
      <c r="A13" s="6"/>
      <c r="B13" t="s">
        <v>147</v>
      </c>
      <c r="C13" s="6"/>
      <c r="D13" s="6"/>
      <c r="E13" s="6"/>
      <c r="F13" s="6"/>
      <c r="G13" s="6"/>
      <c r="H13" s="6"/>
      <c r="I13" s="6"/>
      <c r="J13" s="230"/>
    </row>
    <row r="14" spans="1:10" ht="12.75">
      <c r="A14" s="6"/>
      <c r="B14" s="6" t="s">
        <v>148</v>
      </c>
      <c r="C14" s="6"/>
      <c r="D14" s="6"/>
      <c r="E14" s="6"/>
      <c r="F14" s="6"/>
      <c r="G14" s="6"/>
      <c r="H14" s="6"/>
      <c r="I14" s="6"/>
      <c r="J14" s="230"/>
    </row>
    <row r="15" spans="1:10" ht="12.75">
      <c r="A15" s="6"/>
      <c r="B15" s="232" t="s">
        <v>1446</v>
      </c>
      <c r="C15" s="6"/>
      <c r="D15" s="6"/>
      <c r="E15" s="6"/>
      <c r="F15" s="6"/>
      <c r="G15" s="6"/>
      <c r="H15" s="6"/>
      <c r="I15" s="6"/>
      <c r="J15" s="230"/>
    </row>
    <row r="16" spans="1:10" ht="18">
      <c r="A16" s="6"/>
      <c r="B16" s="551" t="s">
        <v>136</v>
      </c>
      <c r="C16" s="6"/>
      <c r="D16" s="6"/>
      <c r="E16" s="6"/>
      <c r="F16" s="6"/>
      <c r="G16" s="6"/>
      <c r="H16" s="6"/>
      <c r="I16" s="6"/>
      <c r="J16" s="230"/>
    </row>
    <row r="17" spans="1:10" ht="12.75">
      <c r="A17" s="6"/>
      <c r="B17" s="6"/>
      <c r="C17" s="6"/>
      <c r="D17" s="6"/>
      <c r="E17" s="6"/>
      <c r="F17" s="6"/>
      <c r="G17" s="6"/>
      <c r="H17" s="6"/>
      <c r="I17" s="6"/>
      <c r="J17" s="230"/>
    </row>
    <row r="18" spans="1:10" ht="18">
      <c r="A18" s="215"/>
      <c r="B18" s="554" t="s">
        <v>137</v>
      </c>
      <c r="C18" s="215"/>
      <c r="D18" s="215"/>
      <c r="E18" s="215"/>
      <c r="F18" s="215"/>
      <c r="G18" s="215"/>
      <c r="H18" s="215"/>
      <c r="I18" s="215"/>
      <c r="J18" s="231"/>
    </row>
    <row r="19" spans="1:10" ht="12.75">
      <c r="A19" s="215"/>
      <c r="B19" s="553" t="s">
        <v>138</v>
      </c>
      <c r="C19" s="215"/>
      <c r="D19" s="215"/>
      <c r="E19" s="215"/>
      <c r="F19" s="5"/>
      <c r="G19" s="215"/>
      <c r="H19" s="215"/>
      <c r="I19" s="215"/>
      <c r="J19" s="231"/>
    </row>
    <row r="20" spans="1:10" ht="12.75">
      <c r="A20" s="215"/>
      <c r="B20" s="555" t="s">
        <v>139</v>
      </c>
      <c r="C20" s="215"/>
      <c r="D20" s="215"/>
      <c r="E20" s="215"/>
      <c r="F20" s="215"/>
      <c r="G20" s="215"/>
      <c r="H20" s="215"/>
      <c r="I20" s="215"/>
      <c r="J20" s="231"/>
    </row>
    <row r="21" spans="1:10" ht="12.75">
      <c r="A21" s="215"/>
      <c r="B21" s="552" t="s">
        <v>140</v>
      </c>
      <c r="C21" s="215"/>
      <c r="D21" s="215"/>
      <c r="E21" s="215"/>
      <c r="F21" s="215"/>
      <c r="G21" s="215"/>
      <c r="H21" s="215"/>
      <c r="I21" s="215"/>
      <c r="J21" s="231"/>
    </row>
    <row r="22" spans="1:10" ht="12.75">
      <c r="A22" s="215"/>
      <c r="B22" s="552" t="s">
        <v>141</v>
      </c>
      <c r="C22" s="215"/>
      <c r="D22" s="215"/>
      <c r="E22" s="215"/>
      <c r="F22" s="215"/>
      <c r="G22" s="215"/>
      <c r="H22" s="215"/>
      <c r="I22" s="215"/>
      <c r="J22" s="231"/>
    </row>
    <row r="23" spans="1:10" ht="12.75">
      <c r="A23" s="215"/>
      <c r="B23" s="553" t="s">
        <v>142</v>
      </c>
      <c r="C23" s="215"/>
      <c r="D23" s="215"/>
      <c r="E23" s="215"/>
      <c r="F23" s="215"/>
      <c r="G23" s="215"/>
      <c r="H23" s="215"/>
      <c r="I23" s="215"/>
      <c r="J23" s="231"/>
    </row>
    <row r="24" spans="1:10" ht="12.75">
      <c r="A24" s="215"/>
      <c r="B24" s="664" t="s">
        <v>1447</v>
      </c>
      <c r="C24" s="215"/>
      <c r="D24" s="215"/>
      <c r="E24" s="215"/>
      <c r="F24" s="215"/>
      <c r="G24" s="215"/>
      <c r="H24" s="215"/>
      <c r="I24" s="215"/>
      <c r="J24" s="231"/>
    </row>
    <row r="25" spans="1:10" ht="12.75">
      <c r="A25" s="215"/>
      <c r="B25" s="553" t="s">
        <v>143</v>
      </c>
      <c r="C25" s="215"/>
      <c r="D25" s="215"/>
      <c r="E25" s="215"/>
      <c r="F25" s="215"/>
      <c r="G25" s="215"/>
      <c r="H25" s="215"/>
      <c r="I25" s="215"/>
      <c r="J25" s="231"/>
    </row>
    <row r="26" spans="1:10" ht="12.75">
      <c r="A26" s="215"/>
      <c r="B26" s="352" t="s">
        <v>1075</v>
      </c>
      <c r="C26" s="215"/>
      <c r="D26" s="215"/>
      <c r="E26" s="215"/>
      <c r="F26" s="215"/>
      <c r="G26" s="215"/>
      <c r="H26" s="215"/>
      <c r="I26" s="215"/>
      <c r="J26" s="231"/>
    </row>
    <row r="27" spans="1:10" ht="12.75">
      <c r="A27" s="215"/>
      <c r="B27" s="556" t="s">
        <v>905</v>
      </c>
      <c r="C27" s="215"/>
      <c r="D27" s="215"/>
      <c r="E27" s="215"/>
      <c r="F27" s="215"/>
      <c r="G27" s="215"/>
      <c r="H27" s="215"/>
      <c r="I27" s="215"/>
      <c r="J27" s="231"/>
    </row>
    <row r="28" spans="1:10" ht="14.25">
      <c r="A28" s="215"/>
      <c r="B28" s="352" t="s">
        <v>216</v>
      </c>
      <c r="C28" s="556" t="s">
        <v>144</v>
      </c>
      <c r="D28" s="215"/>
      <c r="E28" s="215"/>
      <c r="F28" s="215"/>
      <c r="G28" s="215"/>
      <c r="H28" s="215"/>
      <c r="I28" s="215"/>
      <c r="J28" s="231"/>
    </row>
    <row r="29" spans="1:10" ht="12.75">
      <c r="A29" s="215"/>
      <c r="B29" s="215"/>
      <c r="C29" s="215"/>
      <c r="D29" s="656" t="s">
        <v>1500</v>
      </c>
      <c r="E29" s="215"/>
      <c r="F29" s="215"/>
      <c r="G29" s="215"/>
      <c r="H29" s="215"/>
      <c r="I29" s="215"/>
      <c r="J29" s="231"/>
    </row>
    <row r="30" spans="1:10" ht="12.75">
      <c r="A30" s="215"/>
      <c r="B30" s="215"/>
      <c r="C30" s="215"/>
      <c r="D30" s="215" t="s">
        <v>145</v>
      </c>
      <c r="E30" s="215"/>
      <c r="F30" s="215"/>
      <c r="G30" s="215"/>
      <c r="H30" s="215"/>
      <c r="I30" s="215"/>
      <c r="J30" s="231"/>
    </row>
    <row r="31" spans="1:10" ht="12.75">
      <c r="A31" s="215"/>
      <c r="B31" s="215"/>
      <c r="C31" s="215"/>
      <c r="D31" s="215" t="s">
        <v>129</v>
      </c>
      <c r="E31" s="215"/>
      <c r="F31" s="215"/>
      <c r="G31" s="215"/>
      <c r="H31" s="215"/>
      <c r="I31" s="215"/>
      <c r="J31" s="231"/>
    </row>
    <row r="32" spans="1:10" ht="12.75">
      <c r="A32" s="215"/>
      <c r="B32" s="215"/>
      <c r="C32" s="215"/>
      <c r="D32" s="215" t="s">
        <v>130</v>
      </c>
      <c r="E32" s="215"/>
      <c r="F32" s="215"/>
      <c r="G32" s="215"/>
      <c r="H32" s="215"/>
      <c r="I32" s="215"/>
      <c r="J32" s="231"/>
    </row>
    <row r="33" spans="1:10" ht="12.75">
      <c r="A33" s="215"/>
      <c r="B33" s="664" t="s">
        <v>1448</v>
      </c>
      <c r="C33" s="215"/>
      <c r="D33" s="215"/>
      <c r="E33" s="215"/>
      <c r="F33" s="215"/>
      <c r="G33" s="215"/>
      <c r="H33" s="215"/>
      <c r="I33" s="215"/>
      <c r="J33" s="231"/>
    </row>
    <row r="34" spans="1:10" ht="12.75">
      <c r="A34" s="215"/>
      <c r="B34" s="553" t="s">
        <v>131</v>
      </c>
      <c r="C34" s="215"/>
      <c r="D34" s="215"/>
      <c r="E34" s="215"/>
      <c r="F34" s="215"/>
      <c r="G34" s="215"/>
      <c r="H34" s="215"/>
      <c r="I34" s="215"/>
      <c r="J34" s="231"/>
    </row>
    <row r="35" spans="1:10" ht="12.75">
      <c r="A35" s="215"/>
      <c r="B35" s="215" t="s">
        <v>132</v>
      </c>
      <c r="C35" s="215"/>
      <c r="D35" s="215"/>
      <c r="E35" s="215"/>
      <c r="F35" s="215"/>
      <c r="G35" s="215"/>
      <c r="H35" s="215"/>
      <c r="I35" s="215"/>
      <c r="J35" s="231"/>
    </row>
    <row r="36" spans="1:14" ht="12.75">
      <c r="A36" s="215"/>
      <c r="B36" s="237"/>
      <c r="C36" s="215" t="s">
        <v>1449</v>
      </c>
      <c r="D36" s="237"/>
      <c r="E36" s="237"/>
      <c r="F36" s="237"/>
      <c r="G36" s="237"/>
      <c r="H36" s="237"/>
      <c r="I36" s="237"/>
      <c r="J36" s="237"/>
      <c r="K36" s="358"/>
      <c r="N36">
        <v>1161</v>
      </c>
    </row>
    <row r="37" spans="1:11" ht="12.75">
      <c r="A37" s="215"/>
      <c r="B37" s="237"/>
      <c r="C37" s="237"/>
      <c r="D37" s="237"/>
      <c r="E37" s="237"/>
      <c r="F37" s="237"/>
      <c r="G37" s="237"/>
      <c r="H37" s="237"/>
      <c r="I37" s="237"/>
      <c r="J37" s="237"/>
      <c r="K37" s="358"/>
    </row>
    <row r="38" spans="1:11" ht="12.75">
      <c r="A38" s="215"/>
      <c r="B38" s="553" t="s">
        <v>133</v>
      </c>
      <c r="C38" s="237"/>
      <c r="D38" s="237"/>
      <c r="E38" s="237"/>
      <c r="F38" s="237"/>
      <c r="G38" s="237"/>
      <c r="H38" s="237"/>
      <c r="I38" s="237"/>
      <c r="J38" s="237"/>
      <c r="K38" s="358"/>
    </row>
    <row r="39" spans="1:14" ht="12.75">
      <c r="A39" s="215"/>
      <c r="B39" s="664" t="s">
        <v>1382</v>
      </c>
      <c r="C39" s="237"/>
      <c r="D39" s="237"/>
      <c r="E39" s="237"/>
      <c r="F39" s="237"/>
      <c r="G39" s="237"/>
      <c r="H39" s="237"/>
      <c r="I39" s="237"/>
      <c r="J39" s="237"/>
      <c r="K39" s="358"/>
      <c r="N39">
        <v>1162</v>
      </c>
    </row>
    <row r="40" spans="1:11" ht="12.75">
      <c r="A40" s="215"/>
      <c r="B40" s="664" t="s">
        <v>1123</v>
      </c>
      <c r="C40" s="237"/>
      <c r="D40" s="237"/>
      <c r="E40" s="237"/>
      <c r="F40" s="237"/>
      <c r="G40" s="237"/>
      <c r="H40" s="237"/>
      <c r="I40" s="237"/>
      <c r="J40" s="237"/>
      <c r="K40" s="358"/>
    </row>
    <row r="41" spans="1:11" ht="12.75">
      <c r="A41" s="215"/>
      <c r="B41" s="664" t="s">
        <v>1124</v>
      </c>
      <c r="C41" s="237"/>
      <c r="D41" s="237"/>
      <c r="E41" s="237"/>
      <c r="F41" s="237"/>
      <c r="G41" s="237"/>
      <c r="H41" s="237"/>
      <c r="I41" s="237"/>
      <c r="J41" s="237"/>
      <c r="K41" s="358"/>
    </row>
    <row r="42" spans="1:11" ht="12.75">
      <c r="A42" s="215"/>
      <c r="B42" s="664" t="s">
        <v>1125</v>
      </c>
      <c r="C42" s="237"/>
      <c r="D42" s="237"/>
      <c r="E42" s="237"/>
      <c r="F42" s="237"/>
      <c r="G42" s="237"/>
      <c r="H42" s="237"/>
      <c r="I42" s="237"/>
      <c r="J42" s="237"/>
      <c r="K42" s="358"/>
    </row>
    <row r="43" spans="1:11" ht="12.75">
      <c r="A43" s="215"/>
      <c r="B43" s="353"/>
      <c r="C43" s="237"/>
      <c r="D43" s="237"/>
      <c r="E43" s="237"/>
      <c r="F43" s="237"/>
      <c r="G43" s="237"/>
      <c r="H43" s="237"/>
      <c r="I43" s="237"/>
      <c r="J43" s="237"/>
      <c r="K43" s="358"/>
    </row>
    <row r="44" spans="1:11" ht="12.75">
      <c r="A44" s="215"/>
      <c r="B44" s="553" t="s">
        <v>134</v>
      </c>
      <c r="C44" s="237"/>
      <c r="D44" s="237"/>
      <c r="E44" s="237"/>
      <c r="F44" s="237"/>
      <c r="G44" s="237"/>
      <c r="H44" s="237"/>
      <c r="I44" s="237"/>
      <c r="J44" s="237"/>
      <c r="K44" s="358"/>
    </row>
    <row r="45" spans="1:11" ht="12.75">
      <c r="A45" s="215"/>
      <c r="B45" s="553" t="s">
        <v>80</v>
      </c>
      <c r="C45" s="237"/>
      <c r="D45" s="237"/>
      <c r="E45" s="237"/>
      <c r="F45" s="237"/>
      <c r="G45" s="237"/>
      <c r="H45" s="237"/>
      <c r="I45" s="237"/>
      <c r="J45" s="237"/>
      <c r="K45" s="358"/>
    </row>
    <row r="46" spans="1:11" ht="12.75">
      <c r="A46" s="215"/>
      <c r="B46" s="553" t="s">
        <v>81</v>
      </c>
      <c r="C46" s="237"/>
      <c r="D46" s="237"/>
      <c r="E46" s="237"/>
      <c r="F46" s="237"/>
      <c r="G46" s="237"/>
      <c r="H46" s="237"/>
      <c r="I46" s="237"/>
      <c r="J46" s="237"/>
      <c r="K46" s="358"/>
    </row>
    <row r="47" spans="1:11" ht="12.75">
      <c r="A47" s="215"/>
      <c r="B47" s="742" t="s">
        <v>1127</v>
      </c>
      <c r="C47" s="237"/>
      <c r="D47" s="237"/>
      <c r="E47" s="237"/>
      <c r="F47" s="237"/>
      <c r="G47" s="237"/>
      <c r="H47" s="237"/>
      <c r="I47" s="237"/>
      <c r="J47" s="237"/>
      <c r="K47" s="358"/>
    </row>
    <row r="48" spans="1:14" ht="12.75">
      <c r="A48" s="215"/>
      <c r="B48" s="743" t="s">
        <v>1126</v>
      </c>
      <c r="C48" s="215"/>
      <c r="D48" s="215"/>
      <c r="E48" s="215"/>
      <c r="F48" s="237"/>
      <c r="G48" s="237"/>
      <c r="H48" s="237"/>
      <c r="I48" s="237"/>
      <c r="J48" s="237"/>
      <c r="K48" s="358"/>
      <c r="N48">
        <v>1163</v>
      </c>
    </row>
    <row r="49" spans="10:14" s="215" customFormat="1" ht="12.75">
      <c r="J49" s="231"/>
      <c r="K49" s="6"/>
      <c r="L49" s="6"/>
      <c r="N49" s="215">
        <v>1164</v>
      </c>
    </row>
    <row r="50" spans="9:14" s="215" customFormat="1" ht="12.75">
      <c r="I50" s="570" t="s">
        <v>84</v>
      </c>
      <c r="J50" s="231"/>
      <c r="K50" s="6"/>
      <c r="L50" s="6"/>
      <c r="N50" s="215">
        <v>1165</v>
      </c>
    </row>
    <row r="51" spans="4:14" s="215" customFormat="1" ht="12.75">
      <c r="D51" s="237"/>
      <c r="J51" s="231"/>
      <c r="K51" s="6"/>
      <c r="L51" s="6"/>
      <c r="N51" s="215">
        <v>2101</v>
      </c>
    </row>
    <row r="52" spans="4:10" s="579" customFormat="1" ht="12.75">
      <c r="D52" s="665"/>
      <c r="J52" s="665"/>
    </row>
    <row r="53" spans="2:10" s="579" customFormat="1" ht="18">
      <c r="B53" s="1318" t="s">
        <v>1545</v>
      </c>
      <c r="D53" s="665"/>
      <c r="J53" s="665"/>
    </row>
    <row r="54" spans="1:14" ht="12.75">
      <c r="A54" s="579"/>
      <c r="B54" s="579"/>
      <c r="C54" s="579"/>
      <c r="D54" s="579"/>
      <c r="E54" s="579"/>
      <c r="F54" s="579"/>
      <c r="G54" s="579"/>
      <c r="H54" s="579"/>
      <c r="I54" s="579"/>
      <c r="J54" s="579"/>
      <c r="N54">
        <v>2102</v>
      </c>
    </row>
    <row r="55" spans="1:14" ht="15">
      <c r="A55" s="579"/>
      <c r="B55" s="800" t="s">
        <v>1322</v>
      </c>
      <c r="C55" s="668"/>
      <c r="D55" s="668"/>
      <c r="E55" s="668"/>
      <c r="F55" s="668"/>
      <c r="G55" s="668"/>
      <c r="H55" s="668"/>
      <c r="I55" s="668"/>
      <c r="J55" s="668"/>
      <c r="N55">
        <v>2103</v>
      </c>
    </row>
    <row r="56" spans="1:14" ht="12.75">
      <c r="A56" s="579"/>
      <c r="B56" s="668"/>
      <c r="C56" s="669" t="s">
        <v>1128</v>
      </c>
      <c r="D56" s="668"/>
      <c r="E56" s="668"/>
      <c r="F56" s="668"/>
      <c r="G56" s="668"/>
      <c r="H56" s="668"/>
      <c r="I56" s="668"/>
      <c r="J56" s="668"/>
      <c r="N56">
        <v>2104</v>
      </c>
    </row>
    <row r="57" spans="1:14" ht="12.75">
      <c r="A57" s="579"/>
      <c r="B57" s="668"/>
      <c r="C57" s="668"/>
      <c r="D57" s="668"/>
      <c r="E57" s="668"/>
      <c r="F57" s="668"/>
      <c r="G57" s="668"/>
      <c r="H57" s="668"/>
      <c r="I57" s="668"/>
      <c r="J57" s="668"/>
      <c r="N57">
        <v>2105</v>
      </c>
    </row>
    <row r="58" spans="1:14" ht="20.25">
      <c r="A58" s="579"/>
      <c r="B58" s="670" t="s">
        <v>1402</v>
      </c>
      <c r="C58" s="668"/>
      <c r="D58" s="668"/>
      <c r="E58" s="668"/>
      <c r="F58" s="668"/>
      <c r="G58" s="668"/>
      <c r="H58" s="668"/>
      <c r="I58" s="668"/>
      <c r="J58" s="668"/>
      <c r="N58">
        <v>2106</v>
      </c>
    </row>
    <row r="59" spans="1:14" ht="12.75">
      <c r="A59" s="579"/>
      <c r="B59" s="668"/>
      <c r="C59" s="668"/>
      <c r="D59" s="668"/>
      <c r="E59" s="668"/>
      <c r="F59" s="668"/>
      <c r="G59" s="668"/>
      <c r="H59" s="668"/>
      <c r="I59" s="668"/>
      <c r="J59" s="668"/>
      <c r="N59">
        <v>2107</v>
      </c>
    </row>
    <row r="60" spans="1:14" ht="12.75">
      <c r="A60" s="579"/>
      <c r="B60" s="669" t="s">
        <v>1450</v>
      </c>
      <c r="C60" s="668"/>
      <c r="D60" s="668"/>
      <c r="E60" s="668"/>
      <c r="F60" s="668"/>
      <c r="G60" s="668"/>
      <c r="H60" s="668"/>
      <c r="I60" s="668"/>
      <c r="J60" s="668"/>
      <c r="N60">
        <v>2108</v>
      </c>
    </row>
    <row r="61" spans="1:14" ht="12.75">
      <c r="A61" s="579"/>
      <c r="B61" s="669" t="s">
        <v>1178</v>
      </c>
      <c r="C61" s="668"/>
      <c r="D61" s="668"/>
      <c r="E61" s="668"/>
      <c r="F61" s="668"/>
      <c r="G61" s="668"/>
      <c r="H61" s="668"/>
      <c r="I61" s="668"/>
      <c r="J61" s="668"/>
      <c r="N61">
        <v>2109</v>
      </c>
    </row>
    <row r="62" spans="1:14" ht="12.75">
      <c r="A62" s="579"/>
      <c r="B62" s="669" t="s">
        <v>1164</v>
      </c>
      <c r="C62" s="668"/>
      <c r="D62" s="668"/>
      <c r="E62" s="668"/>
      <c r="F62" s="668"/>
      <c r="G62" s="668"/>
      <c r="H62" s="668"/>
      <c r="I62" s="668"/>
      <c r="J62" s="668"/>
      <c r="N62">
        <v>2110</v>
      </c>
    </row>
    <row r="63" spans="1:14" ht="12.75">
      <c r="A63" s="579"/>
      <c r="B63" s="668"/>
      <c r="C63" s="668"/>
      <c r="D63" s="668"/>
      <c r="E63" s="668"/>
      <c r="F63" s="668"/>
      <c r="G63" s="668"/>
      <c r="H63" s="668"/>
      <c r="I63" s="668"/>
      <c r="J63" s="668"/>
      <c r="N63">
        <v>3044</v>
      </c>
    </row>
    <row r="64" spans="1:14" ht="12.75">
      <c r="A64" s="579"/>
      <c r="B64" s="668"/>
      <c r="C64" s="668"/>
      <c r="D64" s="668"/>
      <c r="E64" s="668"/>
      <c r="F64" s="668"/>
      <c r="G64" s="668"/>
      <c r="H64" s="668"/>
      <c r="I64" s="668"/>
      <c r="J64" s="668"/>
      <c r="N64">
        <v>3045</v>
      </c>
    </row>
    <row r="65" spans="1:14" ht="12.75">
      <c r="A65" s="579"/>
      <c r="B65" s="668"/>
      <c r="C65" s="668"/>
      <c r="D65" s="668"/>
      <c r="E65" s="668"/>
      <c r="F65" s="668"/>
      <c r="G65" s="668"/>
      <c r="H65" s="668"/>
      <c r="I65" s="668"/>
      <c r="J65" s="668"/>
      <c r="N65">
        <v>3046</v>
      </c>
    </row>
    <row r="66" spans="1:14" ht="12.75">
      <c r="A66" s="579"/>
      <c r="B66" s="668"/>
      <c r="C66" s="668"/>
      <c r="D66" s="668"/>
      <c r="E66" s="668"/>
      <c r="F66" s="668"/>
      <c r="G66" s="668"/>
      <c r="H66" s="668"/>
      <c r="I66" s="668"/>
      <c r="J66" s="668"/>
      <c r="N66">
        <v>5134</v>
      </c>
    </row>
    <row r="67" spans="1:14" ht="14.25">
      <c r="A67" s="579"/>
      <c r="B67" s="725" t="s">
        <v>1321</v>
      </c>
      <c r="C67" s="579"/>
      <c r="D67" s="579"/>
      <c r="E67" s="666"/>
      <c r="F67" s="667"/>
      <c r="G67" s="579"/>
      <c r="H67" s="579"/>
      <c r="I67" s="579"/>
      <c r="J67" s="579"/>
      <c r="N67">
        <v>8031</v>
      </c>
    </row>
    <row r="68" spans="1:14" ht="14.25">
      <c r="A68" s="579"/>
      <c r="B68" s="725" t="s">
        <v>1318</v>
      </c>
      <c r="C68" s="579"/>
      <c r="D68" s="579"/>
      <c r="E68" s="666"/>
      <c r="F68" s="667"/>
      <c r="G68" s="579"/>
      <c r="H68" s="579"/>
      <c r="I68" s="579"/>
      <c r="J68" s="579"/>
      <c r="N68">
        <v>11001</v>
      </c>
    </row>
    <row r="69" spans="1:14" ht="14.25">
      <c r="A69" s="579"/>
      <c r="B69" s="725" t="s">
        <v>1319</v>
      </c>
      <c r="C69" s="579"/>
      <c r="D69" s="579"/>
      <c r="E69" s="666"/>
      <c r="F69" s="667"/>
      <c r="G69" s="579"/>
      <c r="H69" s="579"/>
      <c r="I69" s="579"/>
      <c r="J69" s="579"/>
      <c r="N69">
        <v>11002</v>
      </c>
    </row>
    <row r="70" spans="1:14" ht="14.25">
      <c r="A70" s="579"/>
      <c r="B70" s="725" t="s">
        <v>1320</v>
      </c>
      <c r="C70" s="579"/>
      <c r="D70" s="579"/>
      <c r="E70" s="666"/>
      <c r="F70" s="667"/>
      <c r="G70" s="579"/>
      <c r="H70" s="579"/>
      <c r="I70" s="579"/>
      <c r="J70" s="579"/>
      <c r="N70">
        <v>11003</v>
      </c>
    </row>
    <row r="71" spans="1:14" ht="14.25">
      <c r="A71" s="579"/>
      <c r="B71" s="725"/>
      <c r="C71" s="579"/>
      <c r="D71" s="579"/>
      <c r="E71" s="666"/>
      <c r="F71" s="667"/>
      <c r="G71" s="579"/>
      <c r="H71" s="579"/>
      <c r="I71" s="579"/>
      <c r="J71" s="579"/>
      <c r="N71">
        <v>11004</v>
      </c>
    </row>
    <row r="72" spans="1:14" ht="14.25">
      <c r="A72" s="579"/>
      <c r="B72" s="725"/>
      <c r="C72" s="579"/>
      <c r="D72" s="579"/>
      <c r="E72" s="666"/>
      <c r="F72" s="667"/>
      <c r="G72" s="579"/>
      <c r="H72" s="579"/>
      <c r="I72" s="579"/>
      <c r="J72" s="579"/>
      <c r="N72">
        <v>11011</v>
      </c>
    </row>
    <row r="73" spans="1:14" ht="12.75">
      <c r="A73" s="579"/>
      <c r="B73" s="6" t="s">
        <v>1424</v>
      </c>
      <c r="C73" s="6"/>
      <c r="D73" s="6"/>
      <c r="E73" s="6"/>
      <c r="F73" s="6"/>
      <c r="G73" s="6"/>
      <c r="H73" s="6"/>
      <c r="I73" s="6"/>
      <c r="J73" s="6"/>
      <c r="N73">
        <v>11012</v>
      </c>
    </row>
    <row r="74" spans="1:14" ht="20.25">
      <c r="A74" s="579"/>
      <c r="B74" s="670" t="s">
        <v>1497</v>
      </c>
      <c r="C74" s="668"/>
      <c r="D74" s="668"/>
      <c r="E74" s="668"/>
      <c r="F74" s="668"/>
      <c r="G74" s="668"/>
      <c r="H74" s="668"/>
      <c r="I74" s="668"/>
      <c r="J74" s="668"/>
      <c r="N74">
        <v>11013</v>
      </c>
    </row>
    <row r="75" spans="1:14" ht="12.75">
      <c r="A75" s="579"/>
      <c r="B75" s="668" t="s">
        <v>1425</v>
      </c>
      <c r="C75" s="668"/>
      <c r="D75" s="668"/>
      <c r="E75" s="668"/>
      <c r="F75" s="668"/>
      <c r="G75" s="668"/>
      <c r="H75" s="668"/>
      <c r="I75" s="668"/>
      <c r="J75" s="668"/>
      <c r="N75">
        <v>11021</v>
      </c>
    </row>
    <row r="76" spans="1:14" ht="12.75">
      <c r="A76" s="579"/>
      <c r="B76" s="668" t="s">
        <v>1426</v>
      </c>
      <c r="C76" s="668"/>
      <c r="D76" s="668"/>
      <c r="E76" s="668"/>
      <c r="F76" s="668"/>
      <c r="G76" s="668"/>
      <c r="H76" s="668"/>
      <c r="I76" s="668"/>
      <c r="J76" s="668"/>
      <c r="N76">
        <v>11022</v>
      </c>
    </row>
    <row r="77" spans="1:14" ht="12.75">
      <c r="A77" s="579"/>
      <c r="B77" s="937" t="s">
        <v>1427</v>
      </c>
      <c r="C77" s="937"/>
      <c r="D77" s="937"/>
      <c r="E77" s="937"/>
      <c r="F77" s="668"/>
      <c r="G77" s="668"/>
      <c r="H77" s="668"/>
      <c r="I77" s="668"/>
      <c r="J77" s="668"/>
      <c r="N77">
        <v>11023</v>
      </c>
    </row>
    <row r="78" spans="1:14" ht="12.75">
      <c r="A78" s="579"/>
      <c r="B78" s="579" t="s">
        <v>1488</v>
      </c>
      <c r="C78" s="579"/>
      <c r="D78" s="579"/>
      <c r="E78" s="665"/>
      <c r="F78" s="665"/>
      <c r="G78" s="579"/>
      <c r="H78" s="579"/>
      <c r="I78" s="579"/>
      <c r="J78" s="579"/>
      <c r="N78">
        <v>11024</v>
      </c>
    </row>
    <row r="79" spans="1:14" ht="12.75">
      <c r="A79" s="579"/>
      <c r="B79" s="579" t="s">
        <v>1489</v>
      </c>
      <c r="C79" s="579"/>
      <c r="D79" s="579"/>
      <c r="E79" s="579"/>
      <c r="F79" s="579"/>
      <c r="G79" s="579"/>
      <c r="H79" s="579"/>
      <c r="I79" s="579"/>
      <c r="J79" s="579"/>
      <c r="N79">
        <v>11025</v>
      </c>
    </row>
    <row r="80" spans="1:14" ht="12.75">
      <c r="A80" s="579"/>
      <c r="B80" s="579" t="s">
        <v>1496</v>
      </c>
      <c r="C80" s="579"/>
      <c r="D80" s="579"/>
      <c r="E80" s="579"/>
      <c r="F80" s="579"/>
      <c r="G80" s="579"/>
      <c r="H80" s="579"/>
      <c r="I80" s="579"/>
      <c r="J80" s="579"/>
      <c r="N80">
        <v>11026</v>
      </c>
    </row>
    <row r="81" spans="1:14" ht="12.75">
      <c r="A81" s="579"/>
      <c r="B81" s="579"/>
      <c r="C81" s="579"/>
      <c r="D81" s="579"/>
      <c r="E81" s="579"/>
      <c r="F81" s="579"/>
      <c r="G81" s="579"/>
      <c r="H81" s="579"/>
      <c r="I81" s="579"/>
      <c r="J81" s="579"/>
      <c r="N81">
        <v>11027</v>
      </c>
    </row>
    <row r="82" ht="12.75">
      <c r="N82">
        <v>11028</v>
      </c>
    </row>
    <row r="83" ht="12.75">
      <c r="N83">
        <v>11029</v>
      </c>
    </row>
    <row r="84" ht="12.75">
      <c r="N84">
        <v>11030</v>
      </c>
    </row>
    <row r="85" ht="12.75">
      <c r="N85">
        <v>11031</v>
      </c>
    </row>
    <row r="86" ht="12.75">
      <c r="N86">
        <v>11032</v>
      </c>
    </row>
    <row r="87" ht="12.75">
      <c r="N87">
        <v>13031</v>
      </c>
    </row>
    <row r="88" ht="12.75">
      <c r="N88">
        <v>13033</v>
      </c>
    </row>
    <row r="89" ht="12.75">
      <c r="N89">
        <v>13034</v>
      </c>
    </row>
    <row r="90" ht="12.75">
      <c r="N90">
        <v>14120</v>
      </c>
    </row>
    <row r="91" ht="12.75">
      <c r="N91">
        <v>14121</v>
      </c>
    </row>
    <row r="92" ht="12.75">
      <c r="N92">
        <v>14122</v>
      </c>
    </row>
  </sheetData>
  <sheetProtection password="CAF9" sheet="1"/>
  <hyperlinks>
    <hyperlink ref="B15" r:id="rId1" display="Christian.Gazzarin@agroscope.admin.ch"/>
    <hyperlink ref="I50" location="'Calcul des machines'!A1" display="Calcul des machines"/>
    <hyperlink ref="B77:D77" location="Kaufschwellenrechner!A1" display="zum Kaufschwellenrechner"/>
    <hyperlink ref="B77:E77" location="'Acheter ou louer'!A1" display="Accès au calculateur de seuil d'achat"/>
  </hyperlinks>
  <printOptions/>
  <pageMargins left="0.787401575" right="0.787401575" top="0.44" bottom="0.37" header="0.28" footer="0.17"/>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D10" sqref="D10"/>
    </sheetView>
  </sheetViews>
  <sheetFormatPr defaultColWidth="11.421875" defaultRowHeight="12.75"/>
  <cols>
    <col min="1" max="1" width="2.421875" style="360" customWidth="1"/>
    <col min="2" max="2" width="27.8515625" style="363" customWidth="1"/>
    <col min="3" max="3" width="11.8515625" style="363" customWidth="1"/>
    <col min="4" max="4" width="13.7109375" style="363" customWidth="1"/>
    <col min="5" max="5" width="12.00390625" style="363" customWidth="1"/>
    <col min="6" max="6" width="11.140625" style="363" customWidth="1"/>
    <col min="7" max="7" width="14.00390625" style="363" customWidth="1"/>
    <col min="8" max="8" width="7.28125" style="361" customWidth="1"/>
    <col min="9" max="9" width="28.28125" style="362" customWidth="1"/>
    <col min="10" max="10" width="8.421875" style="362" customWidth="1"/>
    <col min="11" max="11" width="11.421875" style="360" customWidth="1"/>
    <col min="12" max="12" width="10.140625" style="360" customWidth="1"/>
    <col min="13" max="13" width="10.00390625" style="360" customWidth="1"/>
    <col min="14" max="14" width="11.421875" style="360" customWidth="1"/>
    <col min="15" max="15" width="4.140625" style="360" customWidth="1"/>
    <col min="16" max="17" width="11.421875" style="363" customWidth="1"/>
    <col min="18" max="21" width="0" style="363" hidden="1" customWidth="1"/>
    <col min="22" max="16384" width="11.421875" style="363" customWidth="1"/>
  </cols>
  <sheetData>
    <row r="1" spans="1:7" ht="27">
      <c r="A1" s="359" t="str">
        <f>lire!A1</f>
        <v>TractoScope - Programme de calcul Coûts-machines</v>
      </c>
      <c r="B1" s="360"/>
      <c r="C1" s="360"/>
      <c r="D1" s="360"/>
      <c r="E1" s="360"/>
      <c r="F1" s="360"/>
      <c r="G1" s="360"/>
    </row>
    <row r="2" spans="1:7" ht="18">
      <c r="A2" s="229" t="str">
        <f>lire!A2</f>
        <v> (Agroscope - Institut des sciences en durabilité agronomique IDU, Tänikon - V. 5.1/2015)</v>
      </c>
      <c r="B2" s="360"/>
      <c r="C2" s="360"/>
      <c r="D2" s="360"/>
      <c r="E2" s="360"/>
      <c r="F2" s="360"/>
      <c r="G2" s="360"/>
    </row>
    <row r="3" spans="1:7" ht="18">
      <c r="A3" s="364"/>
      <c r="B3" s="360"/>
      <c r="C3" s="360"/>
      <c r="D3" s="360"/>
      <c r="E3" s="360"/>
      <c r="F3" s="360"/>
      <c r="G3" s="360"/>
    </row>
    <row r="4" spans="1:7" ht="18">
      <c r="A4" s="364"/>
      <c r="B4" s="365" t="s">
        <v>27</v>
      </c>
      <c r="C4" s="489">
        <v>2</v>
      </c>
      <c r="D4" s="360" t="s">
        <v>28</v>
      </c>
      <c r="E4" s="360"/>
      <c r="F4" s="360"/>
      <c r="G4" s="360"/>
    </row>
    <row r="5" spans="1:21" ht="18">
      <c r="A5" s="364"/>
      <c r="B5" s="360"/>
      <c r="C5" s="360"/>
      <c r="D5" s="360"/>
      <c r="E5" s="360"/>
      <c r="F5" s="360"/>
      <c r="G5" s="360"/>
      <c r="R5" s="363">
        <v>0</v>
      </c>
      <c r="S5" s="366" t="s">
        <v>903</v>
      </c>
      <c r="U5" s="363" t="s">
        <v>66</v>
      </c>
    </row>
    <row r="6" spans="2:21" ht="18">
      <c r="B6" s="367" t="str">
        <f>IF($C$4=1,"Calcul machine A",IF($C$4=2,"Calcul véhicule à moteur A","?"))</f>
        <v>Calcul véhicule à moteur A</v>
      </c>
      <c r="C6" s="360"/>
      <c r="D6" s="368" t="s">
        <v>29</v>
      </c>
      <c r="E6" s="369">
        <f ca="1">NOW()</f>
        <v>42619.51013472222</v>
      </c>
      <c r="F6" s="360"/>
      <c r="G6" s="360"/>
      <c r="I6" s="367" t="str">
        <f>IF($C$4=1,"Calcul machine B",IF($C$4=2,"Calcul véhicule à moteur B","?"))</f>
        <v>Calcul véhicule à moteur B</v>
      </c>
      <c r="R6" s="363">
        <v>1</v>
      </c>
      <c r="S6" s="366" t="s">
        <v>901</v>
      </c>
      <c r="U6" s="363" t="s">
        <v>442</v>
      </c>
    </row>
    <row r="7" spans="1:19" ht="18">
      <c r="A7" s="364"/>
      <c r="B7" s="370"/>
      <c r="C7" s="360"/>
      <c r="D7" s="360"/>
      <c r="E7" s="360"/>
      <c r="F7" s="360"/>
      <c r="G7" s="360"/>
      <c r="R7" s="363">
        <v>2</v>
      </c>
      <c r="S7" s="366" t="s">
        <v>902</v>
      </c>
    </row>
    <row r="8" spans="1:20" ht="16.5" thickBot="1">
      <c r="A8" s="371"/>
      <c r="B8" s="372" t="s">
        <v>30</v>
      </c>
      <c r="C8" s="373"/>
      <c r="D8" s="374" t="s">
        <v>31</v>
      </c>
      <c r="E8" s="373"/>
      <c r="F8" s="373"/>
      <c r="G8" s="373"/>
      <c r="I8" s="372" t="s">
        <v>30</v>
      </c>
      <c r="J8" s="373"/>
      <c r="K8" s="374" t="s">
        <v>31</v>
      </c>
      <c r="L8" s="373"/>
      <c r="M8" s="373"/>
      <c r="N8" s="373"/>
      <c r="R8" s="363">
        <v>3</v>
      </c>
      <c r="S8" s="569" t="s">
        <v>904</v>
      </c>
      <c r="T8" s="378">
        <f>Hypothèses!C24</f>
        <v>4.52</v>
      </c>
    </row>
    <row r="9" spans="2:14" ht="15.75">
      <c r="B9" s="490"/>
      <c r="C9" s="379"/>
      <c r="D9" s="487">
        <v>1005</v>
      </c>
      <c r="E9" s="380" t="s">
        <v>228</v>
      </c>
      <c r="F9" s="675" t="str">
        <f>IF(ISERROR(VLOOKUP(D9,Spez!S$4:S$50,1,0)),"","Roues jumelées (1=oui; 0=non)")</f>
        <v>Roues jumelées (1=oui; 0=non)</v>
      </c>
      <c r="G9" s="381"/>
      <c r="H9" s="382"/>
      <c r="I9" s="488"/>
      <c r="J9" s="383"/>
      <c r="K9" s="383"/>
      <c r="L9" s="487">
        <v>1010</v>
      </c>
      <c r="M9" s="376" t="s">
        <v>330</v>
      </c>
      <c r="N9" s="377"/>
    </row>
    <row r="10" spans="1:14" ht="16.5" thickBot="1">
      <c r="A10" s="581"/>
      <c r="B10" s="384" t="str">
        <f>VLOOKUP(D9,Maschinenliste!$A$17:$AE$966,3,0)</f>
        <v>Tracteur 65-74 kW  (88-101 ch)</v>
      </c>
      <c r="C10" s="385"/>
      <c r="D10" s="386"/>
      <c r="E10" s="387"/>
      <c r="F10" s="671" t="str">
        <f>IF(ISERROR(VLOOKUP(D9,Spez!S$4:S$50,1,0)),"","avant")</f>
        <v>avant</v>
      </c>
      <c r="G10" s="672">
        <v>0</v>
      </c>
      <c r="H10" s="673">
        <f>IF(ISERROR(VLOOKUP(D9,Spez!S$4:S$50,1,0)),"",IF(G10=1,VLOOKUP(D9,Maschinenliste!A$17:AH$105,33,0),""))</f>
      </c>
      <c r="I10" s="389" t="str">
        <f>VLOOKUP(L9,Maschinenliste!$A$17:$AE$966,3,0)</f>
        <v>Tracteur  90-104 kW  (122-142 ch)</v>
      </c>
      <c r="J10" s="390"/>
      <c r="K10" s="390"/>
      <c r="L10" s="386"/>
      <c r="M10" s="377"/>
      <c r="N10" s="377"/>
    </row>
    <row r="11" spans="1:14" ht="12.75">
      <c r="A11" s="581"/>
      <c r="B11" s="392">
        <f>IF(ISERROR(VLOOKUP($D9,Spez!$A$4:$A$30,1,0)),"","Stop: la machine sélectionnée ne peut pas être calculée avec ce programme!")</f>
      </c>
      <c r="C11" s="381"/>
      <c r="D11" s="381"/>
      <c r="E11" s="381"/>
      <c r="F11" s="671" t="str">
        <f>IF(ISERROR(VLOOKUP(D9,Spez!S$4:S$50,1,0)),"","arrière")</f>
        <v>arrière</v>
      </c>
      <c r="G11" s="672">
        <v>0</v>
      </c>
      <c r="H11" s="673">
        <f>IF(ISERROR(VLOOKUP(D9,Spez!S$4:S$50,1,0)),"",IF(G11=1,VLOOKUP(D9,Maschinenliste!A$17:AH$105,34,0),""))</f>
      </c>
      <c r="I11" s="392">
        <f>IF(ISERROR(VLOOKUP($L9,Spez!$A$4:$A$30,1,0)),"","Stop: la machine sélectionnée ne peut pas être calculée avec ce programme!")</f>
      </c>
      <c r="J11" s="376"/>
      <c r="K11" s="377"/>
      <c r="L11" s="377"/>
      <c r="M11" s="377"/>
      <c r="N11" s="377"/>
    </row>
    <row r="12" spans="1:14" ht="12.75">
      <c r="A12" s="581"/>
      <c r="B12" s="393" t="s">
        <v>898</v>
      </c>
      <c r="C12" s="394" t="str">
        <f>VLOOKUP($D9,Maschinenliste!$A$17:$AE$966,30,0)</f>
        <v>heures (h)</v>
      </c>
      <c r="D12" s="393" t="str">
        <f>VLOOKUP(E19,$R$5:$S$8,2,0)</f>
        <v>diesel</v>
      </c>
      <c r="E12" s="395">
        <f>IF(E19=3,$T$8,"")</f>
      </c>
      <c r="F12" s="381"/>
      <c r="G12" s="674">
        <f>IF(LEN(H10)&gt;0,VLOOKUP(H10,Maschinenliste!A$31:G$100,6,0),0)+IF(LEN(H11)&gt;0,VLOOKUP(H11,Maschinenliste!A$31:G$100,6,0),0)</f>
        <v>0</v>
      </c>
      <c r="I12" s="376"/>
      <c r="J12" s="393" t="s">
        <v>898</v>
      </c>
      <c r="K12" s="397" t="str">
        <f>VLOOKUP($L9,Maschinenliste!$A$17:$AE$966,30,0)</f>
        <v>heures (h)</v>
      </c>
      <c r="L12" s="396" t="str">
        <f>VLOOKUP(M19,$R$5:$S$8,2,0)</f>
        <v>diesel</v>
      </c>
      <c r="M12" s="398">
        <f>IF(M19=3,$T$8,"")</f>
      </c>
      <c r="N12" s="377"/>
    </row>
    <row r="13" spans="1:14" ht="12.75">
      <c r="A13" s="581"/>
      <c r="B13" s="373"/>
      <c r="C13" s="399" t="str">
        <f>IF(ISERROR(VLOOKUP($D9,Spez!$D$4:$D$46,1,0)),"aucune saisie nécessaire","Veuillez insérer la puissance en kW")</f>
        <v>aucune saisie nécessaire</v>
      </c>
      <c r="D13" s="298">
        <v>19</v>
      </c>
      <c r="E13" s="400">
        <f>IF(ISERROR(VLOOKUP($D9,Spez!$D$4:$D$45,1,0)),"","voir désignation de la machine")</f>
      </c>
      <c r="F13" s="381"/>
      <c r="G13" s="373"/>
      <c r="I13" s="376"/>
      <c r="J13" s="377"/>
      <c r="K13" s="399" t="str">
        <f>IF(ISERROR(VLOOKUP($L9,Spez!$D$4:$D$46,1,0)),"aucune saisie nécessaire","Veuillez insérer la puissance en kW")</f>
        <v>aucune saisie nécessaire</v>
      </c>
      <c r="L13" s="273"/>
      <c r="M13" s="400">
        <f>IF(ISERROR(VLOOKUP($L9,Spez!$D$4:$D$45,1,0)),"","voir désignation de la machine")</f>
      </c>
      <c r="N13" s="377"/>
    </row>
    <row r="14" spans="1:14" ht="12.75">
      <c r="A14" s="581"/>
      <c r="B14" s="403"/>
      <c r="C14" s="373"/>
      <c r="D14" s="373"/>
      <c r="E14" s="380"/>
      <c r="F14" s="381"/>
      <c r="G14" s="373"/>
      <c r="I14" s="376"/>
      <c r="J14" s="404"/>
      <c r="K14" s="377"/>
      <c r="L14" s="377"/>
      <c r="M14" s="375"/>
      <c r="N14" s="377"/>
    </row>
    <row r="15" spans="1:14" ht="12.75">
      <c r="A15" s="581"/>
      <c r="B15" s="373"/>
      <c r="C15" s="393" t="s">
        <v>1451</v>
      </c>
      <c r="D15" s="405">
        <f>IF(ISERROR(VLOOKUP($D9,Spez!$D$48:$D$54,1,0)),IF(C12="heures (h)","",IF(ISERROR(VLOOKUP($D9,Spez!$N$4:$N$27,1,0)),VLOOKUP($D9,Maschinenliste!$A$17:$Y$966,4,0)/E21,VLOOKUP($D9,Maschinenliste!$A$17:$Y$966,4,0))),VLOOKUP($D9,Maschinenliste!$A$17:$Y$966,4,0))</f>
      </c>
      <c r="E15" s="406">
        <f>IF(ISERROR(VLOOKUP($D9,Spez!$O$4:$O$56,1,0)),IF(C12="hectares","ares",IF(C12="heures (h)","",C12)),"charretées")</f>
      </c>
      <c r="F15" s="407">
        <f>IF(D19=0,"par heure","")</f>
      </c>
      <c r="G15" s="373"/>
      <c r="I15" s="376"/>
      <c r="J15" s="375"/>
      <c r="K15" s="393" t="s">
        <v>1451</v>
      </c>
      <c r="L15" s="405">
        <f>IF(ISERROR(VLOOKUP($L9,Spez!$D$48:$D$54,1,0)),IF(K12="heures (h)","",IF(ISERROR(VLOOKUP($L9,Spez!$N$4:$N$27,1,0)),VLOOKUP($L9,Maschinenliste!$A$17:$Y$966,4,0)/L21,VLOOKUP($L9,Maschinenliste!$A$17:$Y$966,4,0))),VLOOKUP($L9,Maschinenliste!$A$17:$Y$966,4,0))</f>
      </c>
      <c r="M15" s="406">
        <f>IF(ISERROR(VLOOKUP($L9,Spez!$O$4:$O$56,1,0)),IF(K12="hectares","ares",IF(K12="heures (h)","",K12)),"charretées")</f>
      </c>
      <c r="N15" s="407">
        <f>IF(L19=0,"par heure","")</f>
      </c>
    </row>
    <row r="16" spans="1:14" s="362" customFormat="1" ht="12.75">
      <c r="A16" s="582"/>
      <c r="C16" s="408"/>
      <c r="D16" s="409"/>
      <c r="E16" s="410"/>
      <c r="F16" s="411"/>
      <c r="H16" s="382"/>
      <c r="K16" s="408"/>
      <c r="L16" s="409"/>
      <c r="M16" s="410"/>
      <c r="N16" s="411"/>
    </row>
    <row r="17" spans="1:13" ht="12" customHeight="1">
      <c r="A17" s="581"/>
      <c r="B17" s="360"/>
      <c r="C17" s="412" t="s">
        <v>229</v>
      </c>
      <c r="D17" s="413">
        <f>VLOOKUP($D9,Maschinenliste!$A$17:$AE$966,4,0)</f>
        <v>70</v>
      </c>
      <c r="E17" s="414" t="e">
        <f>IF(VLOOKUP($D9,Spez!$G$4:$G$15,1,0),"Umrechnung",0)</f>
        <v>#N/A</v>
      </c>
      <c r="F17" s="360"/>
      <c r="G17" s="360"/>
      <c r="J17" s="360"/>
      <c r="K17" s="412" t="s">
        <v>229</v>
      </c>
      <c r="L17" s="413">
        <f>VLOOKUP($L9,Maschinenliste!$A$17:$AE$966,4,0)</f>
        <v>97</v>
      </c>
      <c r="M17" s="414" t="e">
        <f>IF(VLOOKUP($L9,Spez!$G$4:$G$15,1,0),"Umrechnung",0)</f>
        <v>#N/A</v>
      </c>
    </row>
    <row r="18" spans="1:13" ht="12.75">
      <c r="A18" s="581"/>
      <c r="B18" s="360"/>
      <c r="C18" s="412" t="s">
        <v>452</v>
      </c>
      <c r="D18" s="415">
        <f>IF(ISERROR(VLOOKUP($D9,Spez!$D$4:$D$46,1,0)),D17*E21,D13)</f>
        <v>70</v>
      </c>
      <c r="E18" s="416" t="s">
        <v>419</v>
      </c>
      <c r="F18" s="360"/>
      <c r="G18" s="360"/>
      <c r="J18" s="360"/>
      <c r="K18" s="412" t="s">
        <v>452</v>
      </c>
      <c r="L18" s="415">
        <f>IF(ISERROR(VLOOKUP($L9,Spez!$D$4:$D$46,1,0)),L17*L21,L13)</f>
        <v>97</v>
      </c>
      <c r="M18" s="416" t="s">
        <v>419</v>
      </c>
    </row>
    <row r="19" spans="1:13" ht="12.75">
      <c r="A19" s="581"/>
      <c r="B19" s="360"/>
      <c r="C19" s="368"/>
      <c r="D19" s="417">
        <f>IF(ISERROR(VLOOKUP($D9,Spez!$D$48:$D$60,1,0)),IF(C12="heures (h)",1,0),0)</f>
        <v>1</v>
      </c>
      <c r="E19" s="417">
        <f>VLOOKUP(D9,Maschinenliste!$A$17:$AE$966,31,0)</f>
        <v>1</v>
      </c>
      <c r="G19" s="360"/>
      <c r="J19" s="360"/>
      <c r="K19" s="368"/>
      <c r="L19" s="417">
        <f>IF(ISERROR(VLOOKUP($L9,Spez!$D$48:$D$60,1,0)),IF(K12="heures (h)",1,0),0)</f>
        <v>1</v>
      </c>
      <c r="M19" s="289">
        <f>VLOOKUP(L9,Maschinenliste!$A$17:$AG$966,31,0)</f>
        <v>1</v>
      </c>
    </row>
    <row r="20" spans="1:7" ht="13.5" thickBot="1">
      <c r="A20" s="581"/>
      <c r="B20" s="360"/>
      <c r="C20" s="360"/>
      <c r="D20" s="418"/>
      <c r="E20" s="360"/>
      <c r="F20" s="360"/>
      <c r="G20" s="360"/>
    </row>
    <row r="21" spans="1:14" ht="16.5" thickBot="1">
      <c r="A21" s="581"/>
      <c r="B21" s="360"/>
      <c r="C21" s="360"/>
      <c r="D21" s="362"/>
      <c r="E21" s="419">
        <f>IF(ISERROR(VLOOKUP($D9,Spez!$O$4:$O$45,1,0)),1,VLOOKUP($D9,Maschinenliste!$A$17:$AE$966,28,0))</f>
        <v>1</v>
      </c>
      <c r="F21" s="420" t="s">
        <v>32</v>
      </c>
      <c r="G21" s="421"/>
      <c r="H21" s="382"/>
      <c r="L21" s="419">
        <f>IF(ISERROR(VLOOKUP($L9,Spez!$O$4:$O$45,1,0)),1,VLOOKUP($L9,Maschinenliste!$A$17:$AE$966,28,0))</f>
        <v>1</v>
      </c>
      <c r="M21" s="420" t="s">
        <v>32</v>
      </c>
      <c r="N21" s="422"/>
    </row>
    <row r="22" spans="1:14" ht="13.5" thickBot="1">
      <c r="A22" s="581"/>
      <c r="B22" s="360"/>
      <c r="C22" s="360"/>
      <c r="D22" s="362"/>
      <c r="E22" s="362"/>
      <c r="F22" s="744">
        <f>IF(G61=0,"","données ont été modifiées")</f>
      </c>
      <c r="G22" s="362"/>
      <c r="H22" s="382"/>
      <c r="K22" s="362"/>
      <c r="L22" s="362"/>
      <c r="M22" s="744">
        <f>IF(N61=0,"","données ont été modifiées")</f>
      </c>
      <c r="N22" s="362"/>
    </row>
    <row r="23" spans="1:14" ht="12.75">
      <c r="A23" s="581"/>
      <c r="B23" s="360"/>
      <c r="C23" s="360"/>
      <c r="D23" s="408" t="s">
        <v>33</v>
      </c>
      <c r="E23" s="423" t="str">
        <f>IF(E19=1,"Saisie","")</f>
        <v>Saisie</v>
      </c>
      <c r="F23" s="299">
        <f>Hypothèses!C22</f>
        <v>1.47</v>
      </c>
      <c r="G23" s="424" t="s">
        <v>431</v>
      </c>
      <c r="H23" s="382"/>
      <c r="I23" s="360"/>
      <c r="J23" s="360"/>
      <c r="L23" s="408" t="s">
        <v>33</v>
      </c>
      <c r="M23" s="301">
        <f>F23</f>
        <v>1.47</v>
      </c>
      <c r="N23" s="424" t="s">
        <v>431</v>
      </c>
    </row>
    <row r="24" spans="1:14" ht="13.5" thickBot="1">
      <c r="A24" s="581"/>
      <c r="B24" s="360"/>
      <c r="C24" s="360"/>
      <c r="D24" s="408" t="s">
        <v>94</v>
      </c>
      <c r="E24" s="423">
        <f>IF(E19=2,"Saisie","")</f>
      </c>
      <c r="F24" s="300">
        <f>Hypothèses!C23</f>
        <v>1.45</v>
      </c>
      <c r="G24" s="425" t="s">
        <v>431</v>
      </c>
      <c r="H24" s="382"/>
      <c r="I24" s="360"/>
      <c r="J24" s="360"/>
      <c r="L24" s="408" t="s">
        <v>94</v>
      </c>
      <c r="M24" s="302">
        <f>F24</f>
        <v>1.45</v>
      </c>
      <c r="N24" s="425" t="s">
        <v>431</v>
      </c>
    </row>
    <row r="25" spans="1:14" ht="12.75">
      <c r="A25" s="581"/>
      <c r="B25" s="426" t="s">
        <v>36</v>
      </c>
      <c r="C25" s="427" t="s">
        <v>37</v>
      </c>
      <c r="D25" s="428" t="s">
        <v>1452</v>
      </c>
      <c r="E25" s="429"/>
      <c r="F25" s="430"/>
      <c r="G25" s="425"/>
      <c r="H25" s="382"/>
      <c r="I25" s="426" t="s">
        <v>36</v>
      </c>
      <c r="J25" s="427" t="s">
        <v>37</v>
      </c>
      <c r="K25" s="428" t="s">
        <v>1452</v>
      </c>
      <c r="L25" s="429"/>
      <c r="M25" s="430"/>
      <c r="N25" s="425"/>
    </row>
    <row r="26" spans="1:14" ht="12.75">
      <c r="A26" s="581"/>
      <c r="B26" s="360" t="s">
        <v>38</v>
      </c>
      <c r="C26" s="360" t="s">
        <v>173</v>
      </c>
      <c r="D26" s="431">
        <f>VLOOKUP($D9,Maschinenliste!$A$17:$AE$966,5,0)</f>
        <v>90000</v>
      </c>
      <c r="E26" s="362"/>
      <c r="F26" s="745">
        <f>D26</f>
        <v>90000</v>
      </c>
      <c r="G26" s="425"/>
      <c r="H26" s="382"/>
      <c r="I26" s="360" t="s">
        <v>38</v>
      </c>
      <c r="J26" s="360" t="s">
        <v>173</v>
      </c>
      <c r="K26" s="431">
        <f>VLOOKUP($L9,Maschinenliste!$A$17:$AE$966,5,0)</f>
        <v>139000</v>
      </c>
      <c r="L26" s="362"/>
      <c r="M26" s="275">
        <f>K26</f>
        <v>139000</v>
      </c>
      <c r="N26" s="425"/>
    </row>
    <row r="27" spans="1:14" ht="12.75">
      <c r="A27" s="581"/>
      <c r="B27" s="360" t="s">
        <v>39</v>
      </c>
      <c r="C27" s="360"/>
      <c r="D27" s="431"/>
      <c r="E27" s="362"/>
      <c r="F27" s="283" t="s">
        <v>66</v>
      </c>
      <c r="G27" s="425"/>
      <c r="H27" s="382"/>
      <c r="I27" s="360" t="s">
        <v>39</v>
      </c>
      <c r="J27" s="360"/>
      <c r="K27" s="431"/>
      <c r="L27" s="362"/>
      <c r="M27" s="283" t="s">
        <v>66</v>
      </c>
      <c r="N27" s="425"/>
    </row>
    <row r="28" spans="1:14" ht="12.75">
      <c r="A28" s="581"/>
      <c r="B28" s="360" t="s">
        <v>40</v>
      </c>
      <c r="C28" s="360" t="s">
        <v>82</v>
      </c>
      <c r="D28" s="431">
        <f>VLOOKUP($D9,Maschinenliste!$A$17:$AE$966,10,0)</f>
        <v>450</v>
      </c>
      <c r="E28" s="411" t="str">
        <f>$C12</f>
        <v>heures (h)</v>
      </c>
      <c r="F28" s="276">
        <f>D28</f>
        <v>450</v>
      </c>
      <c r="G28" s="425" t="str">
        <f>E28</f>
        <v>heures (h)</v>
      </c>
      <c r="H28" s="382"/>
      <c r="I28" s="360" t="s">
        <v>40</v>
      </c>
      <c r="J28" s="360" t="s">
        <v>82</v>
      </c>
      <c r="K28" s="431">
        <f>VLOOKUP($L9,Maschinenliste!$A$17:$AE$966,10,0)</f>
        <v>500</v>
      </c>
      <c r="L28" s="411" t="str">
        <f>$K12</f>
        <v>heures (h)</v>
      </c>
      <c r="M28" s="276">
        <f>K28</f>
        <v>500</v>
      </c>
      <c r="N28" s="425" t="str">
        <f>L28</f>
        <v>heures (h)</v>
      </c>
    </row>
    <row r="29" spans="1:14" ht="12.75">
      <c r="A29" s="581"/>
      <c r="B29" s="360" t="s">
        <v>41</v>
      </c>
      <c r="C29" s="360" t="s">
        <v>42</v>
      </c>
      <c r="D29" s="431">
        <f>VLOOKUP($D9,Maschinenliste!$A$17:$AE$966,12,0)</f>
        <v>15</v>
      </c>
      <c r="E29" s="362"/>
      <c r="F29" s="276">
        <f>D29</f>
        <v>15</v>
      </c>
      <c r="G29" s="425"/>
      <c r="H29" s="382"/>
      <c r="I29" s="360" t="s">
        <v>41</v>
      </c>
      <c r="J29" s="360" t="s">
        <v>42</v>
      </c>
      <c r="K29" s="431">
        <f>VLOOKUP($L9,Maschinenliste!$A$17:$AE$966,12,0)</f>
        <v>15</v>
      </c>
      <c r="L29" s="362"/>
      <c r="M29" s="276">
        <f>K29</f>
        <v>15</v>
      </c>
      <c r="N29" s="425"/>
    </row>
    <row r="30" spans="1:14" ht="12.75">
      <c r="A30" s="581"/>
      <c r="B30" s="360" t="s">
        <v>43</v>
      </c>
      <c r="C30" s="360" t="s">
        <v>82</v>
      </c>
      <c r="D30" s="431">
        <f>VLOOKUP($D9,Maschinenliste!$A$17:$AE$966,13,0)</f>
        <v>10000</v>
      </c>
      <c r="E30" s="411" t="str">
        <f>C12</f>
        <v>heures (h)</v>
      </c>
      <c r="F30" s="276">
        <f>D30</f>
        <v>10000</v>
      </c>
      <c r="G30" s="425" t="str">
        <f>E30</f>
        <v>heures (h)</v>
      </c>
      <c r="H30" s="382"/>
      <c r="I30" s="360" t="s">
        <v>43</v>
      </c>
      <c r="J30" s="360" t="s">
        <v>82</v>
      </c>
      <c r="K30" s="431">
        <f>VLOOKUP($L9,Maschinenliste!$A$17:$AE$966,13,0)</f>
        <v>10000</v>
      </c>
      <c r="L30" s="411" t="str">
        <f>K12</f>
        <v>heures (h)</v>
      </c>
      <c r="M30" s="276">
        <f>K30</f>
        <v>10000</v>
      </c>
      <c r="N30" s="425" t="str">
        <f>L30</f>
        <v>heures (h)</v>
      </c>
    </row>
    <row r="31" spans="1:14" ht="12.75">
      <c r="A31" s="581"/>
      <c r="B31" s="360" t="s">
        <v>44</v>
      </c>
      <c r="C31" s="360" t="s">
        <v>175</v>
      </c>
      <c r="D31" s="432">
        <f>D28*D29/D30</f>
        <v>0.675</v>
      </c>
      <c r="E31" s="433"/>
      <c r="F31" s="434">
        <f>IF(LEN(F33)&gt;0,"",F28*F29/F30)</f>
        <v>0.675</v>
      </c>
      <c r="G31" s="425"/>
      <c r="H31" s="382"/>
      <c r="I31" s="360" t="s">
        <v>44</v>
      </c>
      <c r="J31" s="360" t="s">
        <v>175</v>
      </c>
      <c r="K31" s="432">
        <f>K28*K29/K30</f>
        <v>0.75</v>
      </c>
      <c r="L31" s="433"/>
      <c r="M31" s="434">
        <f>IF(LEN(M33)&gt;0,"",M28*M29/M30)</f>
        <v>0.75</v>
      </c>
      <c r="N31" s="425"/>
    </row>
    <row r="32" spans="1:14" ht="12.75">
      <c r="A32" s="581"/>
      <c r="B32" s="360" t="s">
        <v>23</v>
      </c>
      <c r="C32" s="360" t="s">
        <v>45</v>
      </c>
      <c r="D32" s="431">
        <f>VLOOKUP($D9,Maschinenliste!$A$17:$AE$966,14,0)</f>
        <v>0.1</v>
      </c>
      <c r="E32" s="433"/>
      <c r="F32" s="435">
        <f>IF(LEN(F33)&gt;0,"",IF(F31&gt;0,IF(F31&lt;Hypothèses!$C$80,Hypothèses!$B$80,IF(AND(F31&gt;=Hypothèses!$C$80,F31&lt;Hypothèses!$C$79),Hypothèses!$B$79,IF(AND(F31&gt;=Hypothèses!$C$79,F31&lt;Hypothèses!$C$78),Hypothèses!$B$78,IF(AND(F31&gt;=Hypothèses!$C$78,F31&lt;Hypothèses!$C$77),Hypothèses!$B$77,IF(AND(F31&gt;=Hypothèses!$C$77,F31&lt;Hypothèses!$C$76),Hypothèses!$B$76,0))))),""))</f>
        <v>0.1</v>
      </c>
      <c r="G32" s="425"/>
      <c r="H32" s="382"/>
      <c r="I32" s="360" t="s">
        <v>23</v>
      </c>
      <c r="J32" s="360" t="s">
        <v>45</v>
      </c>
      <c r="K32" s="431">
        <f>VLOOKUP($L9,Maschinenliste!$A$17:$AE$966,14,0)</f>
        <v>0.1</v>
      </c>
      <c r="L32" s="433"/>
      <c r="M32" s="435">
        <f>IF(LEN(M33)&gt;0,"",IF(M31&gt;0,IF(M31&lt;Hypothèses!$C$80,Hypothèses!$B$80,IF(AND(M31&gt;=Hypothèses!$C$80,M31&lt;Hypothèses!$C$79),Hypothèses!$B$79,IF(AND(M31&gt;=Hypothèses!$C$79,M31&lt;Hypothèses!$C$78),Hypothèses!$B$78,IF(AND(M31&gt;=Hypothèses!$C$78,M31&lt;Hypothèses!$C$77),Hypothèses!$B$77,IF(AND(M31&gt;=Hypothèses!$C$77,M31&lt;Hypothèses!$C$76),Hypothèses!$B$76,0))))),""))</f>
        <v>0.1</v>
      </c>
      <c r="N32" s="425"/>
    </row>
    <row r="33" spans="1:14" ht="14.25">
      <c r="A33" s="581"/>
      <c r="B33" s="360" t="s">
        <v>46</v>
      </c>
      <c r="C33" s="360" t="s">
        <v>173</v>
      </c>
      <c r="D33" s="436"/>
      <c r="E33" s="437"/>
      <c r="F33" s="276"/>
      <c r="G33" s="425"/>
      <c r="H33" s="382"/>
      <c r="I33" s="360" t="s">
        <v>46</v>
      </c>
      <c r="J33" s="360" t="s">
        <v>173</v>
      </c>
      <c r="K33" s="436"/>
      <c r="L33" s="437"/>
      <c r="M33" s="276"/>
      <c r="N33" s="425"/>
    </row>
    <row r="34" spans="1:14" ht="12.75">
      <c r="A34" s="581"/>
      <c r="B34" s="360" t="s">
        <v>47</v>
      </c>
      <c r="C34" s="360" t="s">
        <v>175</v>
      </c>
      <c r="D34" s="431">
        <f>VLOOKUP($D9,Maschinenliste!$A$17:$AE$966,11,0)</f>
        <v>40</v>
      </c>
      <c r="E34" s="362"/>
      <c r="F34" s="276">
        <f>D34</f>
        <v>40</v>
      </c>
      <c r="G34" s="438">
        <f>IF(E19=0,"",$D18*F34*Hypothèses!$C$25)</f>
        <v>8.4</v>
      </c>
      <c r="H34" s="439"/>
      <c r="I34" s="360" t="s">
        <v>47</v>
      </c>
      <c r="J34" s="360" t="s">
        <v>175</v>
      </c>
      <c r="K34" s="431">
        <f>VLOOKUP($L9,Maschinenliste!$A$17:$AE$966,11,0)</f>
        <v>40</v>
      </c>
      <c r="L34" s="362"/>
      <c r="M34" s="276">
        <f>K34</f>
        <v>40</v>
      </c>
      <c r="N34" s="438">
        <f>IF(M19=0,"",$L18*M34*Hypothèses!$C$25)</f>
        <v>11.64</v>
      </c>
    </row>
    <row r="35" spans="1:14" ht="12.75">
      <c r="A35" s="581"/>
      <c r="B35" s="360" t="s">
        <v>1306</v>
      </c>
      <c r="C35" s="360" t="s">
        <v>45</v>
      </c>
      <c r="D35" s="431">
        <f>VLOOKUP($D9,Maschinenliste!$A$17:$AE$966,15,0)</f>
        <v>0.55</v>
      </c>
      <c r="E35" s="362"/>
      <c r="F35" s="276">
        <f>D35</f>
        <v>0.55</v>
      </c>
      <c r="G35" s="754">
        <f>(F28*G47)</f>
        <v>2227.5</v>
      </c>
      <c r="H35" s="382"/>
      <c r="I35" s="360" t="s">
        <v>1306</v>
      </c>
      <c r="J35" s="360" t="s">
        <v>45</v>
      </c>
      <c r="K35" s="431">
        <f>VLOOKUP($L9,Maschinenliste!$A$17:$AE$966,15,0)</f>
        <v>0.45</v>
      </c>
      <c r="L35" s="362"/>
      <c r="M35" s="276">
        <f>K35</f>
        <v>0.45</v>
      </c>
      <c r="N35" s="754">
        <f>(M28*N47)</f>
        <v>3127.5</v>
      </c>
    </row>
    <row r="36" spans="1:14" ht="12.75">
      <c r="A36" s="581"/>
      <c r="B36" s="360" t="s">
        <v>49</v>
      </c>
      <c r="C36" s="360" t="s">
        <v>176</v>
      </c>
      <c r="D36" s="431">
        <f>VLOOKUP($D9,Maschinenliste!$A$17:$AE$966,16,0)</f>
        <v>70</v>
      </c>
      <c r="E36" s="362"/>
      <c r="F36" s="276">
        <f>D36</f>
        <v>70</v>
      </c>
      <c r="G36" s="425"/>
      <c r="H36" s="382"/>
      <c r="I36" s="360" t="s">
        <v>49</v>
      </c>
      <c r="J36" s="360" t="s">
        <v>176</v>
      </c>
      <c r="K36" s="431">
        <f>VLOOKUP($L9,Maschinenliste!$A$17:$AE$966,16,0)</f>
        <v>85</v>
      </c>
      <c r="L36" s="362"/>
      <c r="M36" s="276">
        <f>K36</f>
        <v>85</v>
      </c>
      <c r="N36" s="425"/>
    </row>
    <row r="37" spans="1:14" ht="12.75">
      <c r="A37" s="581"/>
      <c r="B37" s="360" t="s">
        <v>52</v>
      </c>
      <c r="C37" s="360" t="s">
        <v>175</v>
      </c>
      <c r="D37" s="432">
        <v>0.1</v>
      </c>
      <c r="E37" s="362"/>
      <c r="F37" s="277">
        <f>D37</f>
        <v>0.1</v>
      </c>
      <c r="G37" s="425"/>
      <c r="H37" s="382"/>
      <c r="I37" s="360" t="s">
        <v>52</v>
      </c>
      <c r="J37" s="360" t="s">
        <v>175</v>
      </c>
      <c r="K37" s="432">
        <v>0.1</v>
      </c>
      <c r="L37" s="362"/>
      <c r="M37" s="277">
        <f>K37</f>
        <v>0.1</v>
      </c>
      <c r="N37" s="425"/>
    </row>
    <row r="38" spans="1:14" ht="12.75">
      <c r="A38" s="581"/>
      <c r="B38" s="360" t="s">
        <v>53</v>
      </c>
      <c r="C38" s="360"/>
      <c r="D38" s="432">
        <v>0</v>
      </c>
      <c r="E38" s="362"/>
      <c r="F38" s="277">
        <f>D38</f>
        <v>0</v>
      </c>
      <c r="G38" s="425"/>
      <c r="H38" s="382"/>
      <c r="I38" s="360" t="s">
        <v>53</v>
      </c>
      <c r="J38" s="360"/>
      <c r="K38" s="432">
        <v>0</v>
      </c>
      <c r="L38" s="362"/>
      <c r="M38" s="277">
        <f>K38</f>
        <v>0</v>
      </c>
      <c r="N38" s="425"/>
    </row>
    <row r="39" spans="1:14" ht="12.75">
      <c r="A39" s="581"/>
      <c r="B39" s="360"/>
      <c r="C39" s="360"/>
      <c r="D39" s="430"/>
      <c r="E39" s="362"/>
      <c r="F39" s="430"/>
      <c r="G39" s="441"/>
      <c r="H39" s="382"/>
      <c r="I39" s="360"/>
      <c r="J39" s="360"/>
      <c r="K39" s="430"/>
      <c r="L39" s="362"/>
      <c r="M39" s="430"/>
      <c r="N39" s="441"/>
    </row>
    <row r="40" spans="1:14" ht="12.75">
      <c r="A40" s="581"/>
      <c r="B40" s="427" t="s">
        <v>54</v>
      </c>
      <c r="C40" s="442"/>
      <c r="D40" s="443" t="s">
        <v>67</v>
      </c>
      <c r="E40" s="444" t="s">
        <v>68</v>
      </c>
      <c r="F40" s="443" t="s">
        <v>67</v>
      </c>
      <c r="G40" s="445" t="s">
        <v>69</v>
      </c>
      <c r="H40" s="382"/>
      <c r="I40" s="427" t="s">
        <v>54</v>
      </c>
      <c r="J40" s="442"/>
      <c r="K40" s="443" t="s">
        <v>67</v>
      </c>
      <c r="L40" s="444" t="s">
        <v>68</v>
      </c>
      <c r="M40" s="443" t="s">
        <v>67</v>
      </c>
      <c r="N40" s="445" t="s">
        <v>69</v>
      </c>
    </row>
    <row r="41" spans="1:14" ht="12.75">
      <c r="A41" s="581"/>
      <c r="B41" s="360" t="s">
        <v>55</v>
      </c>
      <c r="C41" s="360"/>
      <c r="D41" s="446">
        <f>(D26-(D26*D32))/D29</f>
        <v>5400</v>
      </c>
      <c r="E41" s="362"/>
      <c r="F41" s="446">
        <f>IF(LEN(F33)&gt;0,(F26-F33)/F29,(F26-(F26*F32))/F29)</f>
        <v>5400</v>
      </c>
      <c r="G41" s="425"/>
      <c r="H41" s="382"/>
      <c r="I41" s="360" t="s">
        <v>55</v>
      </c>
      <c r="J41" s="360"/>
      <c r="K41" s="446">
        <f>(K26-(K26*K32))/K29</f>
        <v>8340</v>
      </c>
      <c r="L41" s="362"/>
      <c r="M41" s="446">
        <f>IF(LEN(M33)&gt;0,(M26-M33)/M29,(M26-(M26*M32))/M29)</f>
        <v>8340</v>
      </c>
      <c r="N41" s="425"/>
    </row>
    <row r="42" spans="1:14" ht="12.75">
      <c r="A42" s="581"/>
      <c r="B42" s="360" t="s">
        <v>56</v>
      </c>
      <c r="C42" s="360"/>
      <c r="D42" s="446">
        <f>(D26-(D32*D26))*Hypothèses!$C$13/100*0.6+(D32*D26*Hypothèses!$C$13/100)</f>
        <v>1440</v>
      </c>
      <c r="E42" s="362"/>
      <c r="F42" s="446">
        <f>IF(LEN(F33)&gt;0,(F26-F33)*Hypothèses!$C$13/100*0.6+(F33*Hypothèses!$C$13/100),(F26-(F32*F26))*Hypothèses!$C$13/100*0.6+(F32*F26*Hypothèses!$C$13/100))</f>
        <v>1440</v>
      </c>
      <c r="G42" s="425"/>
      <c r="H42" s="382"/>
      <c r="I42" s="360" t="s">
        <v>56</v>
      </c>
      <c r="J42" s="360"/>
      <c r="K42" s="446">
        <f>(K26-(K32*K26))*Hypothèses!$C$13/100*0.6+(K32*K26*Hypothèses!$C$13/100)</f>
        <v>2224</v>
      </c>
      <c r="L42" s="362"/>
      <c r="M42" s="446">
        <f>IF(LEN(M33)&gt;0,(M26-M33)*Hypothèses!$C$13/100*0.6+(M33*Hypothèses!$C$13/100),(M26-(M32*M26))*Hypothèses!$C$13/100*0.6+(M32*M26*Hypothèses!$C$13/100))</f>
        <v>2224</v>
      </c>
      <c r="N42" s="425"/>
    </row>
    <row r="43" spans="1:14" ht="12.75">
      <c r="A43" s="581"/>
      <c r="B43" s="360" t="s">
        <v>57</v>
      </c>
      <c r="C43" s="360"/>
      <c r="D43" s="446">
        <f>IF(ISERROR(VLOOKUP($D9,Spez!$K$4:$K$36,1,0)),IF((VLOOKUP($D9,Maschinenliste!$A$17:$AE$966,31,0)&gt;0),D36*Hypothèses!$C$17,D36*Hypothèses!$C$18),D36*Hypothèses!$C$18)</f>
        <v>910</v>
      </c>
      <c r="E43" s="362"/>
      <c r="F43" s="446">
        <f>IF(ISERROR(VLOOKUP($D9,Spez!$K$4:$K$36,1,0)),IF((VLOOKUP($D9,Maschinenliste!$A$17:$AE$966,31,0)&gt;0),F36*Hypothèses!$C$17,F36*Hypothèses!$C$18),F36*Hypothèses!$C$18)</f>
        <v>910</v>
      </c>
      <c r="G43" s="425"/>
      <c r="H43" s="382"/>
      <c r="I43" s="360" t="s">
        <v>57</v>
      </c>
      <c r="J43" s="360"/>
      <c r="K43" s="446">
        <f>IF(ISERROR(VLOOKUP($L9,Spez!$K$4:$K$36,1,0)),IF((VLOOKUP($L9,Maschinenliste!$A$17:$AE$966,31,0)&gt;0),K36*Hypothèses!$C$17,K36*Hypothèses!$C$18),K36*Hypothèses!$C$18)</f>
        <v>1105</v>
      </c>
      <c r="L43" s="362"/>
      <c r="M43" s="446">
        <f>IF(ISERROR(VLOOKUP($L9,Spez!$K$4:$K$36,1,0)),IF((VLOOKUP($L9,Maschinenliste!$A$17:$AE$966,31,0)&gt;0),M36*Hypothèses!$C$17,M36*Hypothèses!$C$18),M36*Hypothèses!$C$18)</f>
        <v>1105</v>
      </c>
      <c r="N43" s="425"/>
    </row>
    <row r="44" spans="1:14" ht="12.75">
      <c r="A44" s="581"/>
      <c r="B44" s="447" t="s">
        <v>58</v>
      </c>
      <c r="C44" s="447"/>
      <c r="D44" s="446">
        <f>VLOOKUP($D9,Maschinenliste!$A$17:$AE$966,29,0)</f>
        <v>660</v>
      </c>
      <c r="E44" s="362"/>
      <c r="F44" s="753">
        <f>D44</f>
        <v>660</v>
      </c>
      <c r="G44" s="425"/>
      <c r="H44" s="382"/>
      <c r="I44" s="447" t="s">
        <v>58</v>
      </c>
      <c r="J44" s="447"/>
      <c r="K44" s="446">
        <f>VLOOKUP($L9,Maschinenliste!$A$17:$AE$966,29,0)</f>
        <v>758</v>
      </c>
      <c r="L44" s="362"/>
      <c r="M44" s="753">
        <f>K44</f>
        <v>758</v>
      </c>
      <c r="N44" s="425"/>
    </row>
    <row r="45" spans="1:14" ht="13.5" thickBot="1">
      <c r="A45" s="581"/>
      <c r="B45" s="448" t="s">
        <v>59</v>
      </c>
      <c r="C45" s="360"/>
      <c r="D45" s="449">
        <f>SUM(D41:D44)</f>
        <v>8410</v>
      </c>
      <c r="E45" s="450">
        <f>D45/D28</f>
        <v>18.68888888888889</v>
      </c>
      <c r="F45" s="449">
        <f>SUM(F41:F44)</f>
        <v>8410</v>
      </c>
      <c r="G45" s="451">
        <f>F45/F28</f>
        <v>18.68888888888889</v>
      </c>
      <c r="H45" s="452"/>
      <c r="I45" s="448" t="s">
        <v>59</v>
      </c>
      <c r="J45" s="360"/>
      <c r="K45" s="449">
        <f>SUM(K41:K44)</f>
        <v>12427</v>
      </c>
      <c r="L45" s="450">
        <f>K45/K28</f>
        <v>24.854</v>
      </c>
      <c r="M45" s="449">
        <f>SUM(M41:M44)</f>
        <v>12427</v>
      </c>
      <c r="N45" s="451">
        <f>M45/M28</f>
        <v>24.854</v>
      </c>
    </row>
    <row r="46" spans="1:14" ht="13.5" thickTop="1">
      <c r="A46" s="581"/>
      <c r="B46" s="360"/>
      <c r="C46" s="360"/>
      <c r="D46" s="453"/>
      <c r="E46" s="454"/>
      <c r="F46" s="453"/>
      <c r="G46" s="455"/>
      <c r="H46" s="452"/>
      <c r="I46" s="360"/>
      <c r="J46" s="360"/>
      <c r="K46" s="453"/>
      <c r="L46" s="454"/>
      <c r="M46" s="453"/>
      <c r="N46" s="455"/>
    </row>
    <row r="47" spans="1:14" ht="12.75" customHeight="1">
      <c r="A47" s="581"/>
      <c r="B47" s="456" t="s">
        <v>1307</v>
      </c>
      <c r="C47" s="360"/>
      <c r="D47" s="430"/>
      <c r="E47" s="454">
        <f>$D26/$D30*D35</f>
        <v>4.95</v>
      </c>
      <c r="F47" s="430"/>
      <c r="G47" s="455">
        <f>IF(F27="Occasion",$D26/$D30*F35,F26/F30*F35)</f>
        <v>4.95</v>
      </c>
      <c r="H47" s="452"/>
      <c r="I47" s="456" t="s">
        <v>1307</v>
      </c>
      <c r="J47" s="360"/>
      <c r="K47" s="430"/>
      <c r="L47" s="454">
        <f>$K26/$K30*K35</f>
        <v>6.255</v>
      </c>
      <c r="M47" s="430"/>
      <c r="N47" s="455">
        <f>IF(M27="Occasion",$K26/$K30*M35,M26/M30*M35)</f>
        <v>6.255</v>
      </c>
    </row>
    <row r="48" spans="1:14" ht="12.75">
      <c r="A48" s="581"/>
      <c r="B48" s="456" t="s">
        <v>61</v>
      </c>
      <c r="C48" s="360"/>
      <c r="D48" s="430"/>
      <c r="E48" s="454">
        <f>IF(ISERROR(VLOOKUP($D9,Spez!$H$4:$H$36,1,0)),IF(ISERROR(VLOOKUP($D9,Spez!$G$4:$G$36,1,0)),IF($E19=0,0,IF($E19=1,$D18*Hypothèses!$C$25*D34*Hypothèses!$C$22,IF($E19=2,$D18*Hypothèses!$C$26*D34*Hypothèses!$C$23,IF($E19=3,$D18*Hypothèses!$C$26*D34*Hypothèses!$C$24,"?")))),IF($E19=1,$D18*Hypothèses!$C$25*D34*Hypothèses!$C$22/$D17*100,IF($E19=2,$D18*Hypothèses!$C$26*D34*Hypothèses!$C$23/$D17*100))),$D18*Hypothèses!$C$25*D34*Hypothèses!$C$22/$D17)</f>
        <v>12.348</v>
      </c>
      <c r="F48" s="430"/>
      <c r="G48" s="755">
        <f>IF(ISERROR(VLOOKUP($D9,Spez!$H$4:$H$36,1,0)),IF(ISERROR(VLOOKUP($D9,Spez!$G$4:$G$36,1,0)),IF($E19=0,0,IF($E19=1,$D18*Hypothèses!$C$25*F34*F$23,IF($E19=2,$D18*Hypothèses!$C$26*F34*F$24,IF($E19=3,$D18*Hypothèses!$C$26*F34*Hypothèses!$C$24,"?")))),IF($E19=1,$D18*Hypothèses!$C$25*F34*F$23/$D17*100,IF($E19=2,$D18*Hypothèses!$C$26*F34*F$24/$D17*100))),$D18*Hypothèses!$C$25*F34*F$23/$D17)</f>
        <v>12.348</v>
      </c>
      <c r="H48" s="452"/>
      <c r="I48" s="456" t="s">
        <v>61</v>
      </c>
      <c r="J48" s="360"/>
      <c r="K48" s="430"/>
      <c r="L48" s="454">
        <f>IF(ISERROR(VLOOKUP($L9,Spez!$H$4:$H$36,1,0)),IF(ISERROR(VLOOKUP($L9,Spez!$G$4:$G$36,1,0)),IF($M19=0,0,IF($M19=1,$L18*Hypothèses!$C$25*K34*Hypothèses!$C$22,IF($M19=2,$L18*Hypothèses!$C$26*K34*Hypothèses!$C$23,IF($M19=3,$L18*Hypothèses!$C$26*K34*Hypothèses!$C$24,"?")))),IF($M19=1,$L18*Hypothèses!$C$25*K34*Hypothèses!$C$22/$L17*100,IF($M19=2,$L18*Hypothèses!$C$26*K34*Hypothèses!$C$23/$L17*100))),$L18*Hypothèses!$C$25*K34*Hypothèses!$C$22/$L17)</f>
        <v>17.110799999999998</v>
      </c>
      <c r="M48" s="430"/>
      <c r="N48" s="755">
        <f>IF(ISERROR(VLOOKUP($L9,Spez!$H$4:$H$36,1,0)),IF(ISERROR(VLOOKUP($L9,Spez!$G$4:$G$36,1,0)),IF($M19=0,0,IF($M19=1,$L18*Hypothèses!$C$25*M34*M$23,IF($M19=2,$L18*Hypothèses!$C$26*M34*M$24,IF($M19=3,$L18*Hypothèses!$C$26*M34*Hypothèses!$C$24,"?")))),IF($M19=1,$L18*Hypothèses!$C$25*M34*M$23/$L17*100,IF($M19=2,$L18*Hypothèses!$C$26*M34*M$24/$L17*100))),$L18*Hypothèses!$C$25*M34*M$23/$L17)</f>
        <v>17.110799999999998</v>
      </c>
    </row>
    <row r="49" spans="1:14" ht="12.75">
      <c r="A49" s="581"/>
      <c r="B49" s="456" t="s">
        <v>62</v>
      </c>
      <c r="C49" s="360"/>
      <c r="D49" s="430"/>
      <c r="E49" s="454">
        <f>IF(ISERROR(VLOOKUP($D9,Spez!$M$4:$M$19,1,0)),IF(VLOOKUP($D9,Maschinenliste!$A$17:$AE$966,31,0)=0,VLOOKUP($D9,Maschinenliste!$A$17:$AE$966,23,0),0),VLOOKUP($D9,Hypothèses!$B$30:$C$34,2,0))</f>
        <v>0</v>
      </c>
      <c r="F49" s="430"/>
      <c r="G49" s="796">
        <f>E49</f>
        <v>0</v>
      </c>
      <c r="H49" s="452"/>
      <c r="I49" s="456" t="s">
        <v>62</v>
      </c>
      <c r="J49" s="360"/>
      <c r="K49" s="430"/>
      <c r="L49" s="454">
        <f>IF(ISERROR(VLOOKUP($L9,Spez!$M$4:$M$19,1,0)),IF(VLOOKUP($L9,Maschinenliste!$A$17:$AE$966,31,0)=0,VLOOKUP($L9,Maschinenliste!$A$17:$AE$966,23,0),0),VLOOKUP($D9,Hypothèses!$B$30:$C$34,2,0))</f>
        <v>0</v>
      </c>
      <c r="M49" s="430"/>
      <c r="N49" s="796">
        <f>L49</f>
        <v>0</v>
      </c>
    </row>
    <row r="50" spans="1:14" ht="13.5" thickBot="1">
      <c r="A50" s="581"/>
      <c r="B50" s="457" t="s">
        <v>63</v>
      </c>
      <c r="C50" s="360"/>
      <c r="D50" s="430"/>
      <c r="E50" s="450">
        <f>SUM(E47:E49)</f>
        <v>17.298000000000002</v>
      </c>
      <c r="F50" s="430"/>
      <c r="G50" s="451">
        <f>SUM(G47:G49)</f>
        <v>17.298000000000002</v>
      </c>
      <c r="H50" s="452"/>
      <c r="I50" s="457" t="s">
        <v>63</v>
      </c>
      <c r="J50" s="360"/>
      <c r="K50" s="430"/>
      <c r="L50" s="450">
        <f>SUM(L47:L49)</f>
        <v>23.365799999999997</v>
      </c>
      <c r="M50" s="430"/>
      <c r="N50" s="451">
        <f>SUM(N47:N49)</f>
        <v>23.365799999999997</v>
      </c>
    </row>
    <row r="51" spans="1:14" ht="13.5" thickTop="1">
      <c r="A51" s="581"/>
      <c r="B51" s="360"/>
      <c r="C51" s="360"/>
      <c r="D51" s="430"/>
      <c r="E51" s="362"/>
      <c r="F51" s="430"/>
      <c r="G51" s="425"/>
      <c r="H51" s="382"/>
      <c r="I51" s="360"/>
      <c r="J51" s="360"/>
      <c r="K51" s="430"/>
      <c r="L51" s="362"/>
      <c r="M51" s="430"/>
      <c r="N51" s="425"/>
    </row>
    <row r="52" spans="1:14" ht="12.75">
      <c r="A52" s="581"/>
      <c r="B52" s="360" t="s">
        <v>64</v>
      </c>
      <c r="C52" s="360"/>
      <c r="D52" s="460">
        <f>IF(ISERROR(VLOOKUP($D9,Spez!$I$4:$I$14,1,0)),"","par charretée")</f>
      </c>
      <c r="E52" s="459">
        <f>IF(ISERROR(VLOOKUP($D9,Spez!$I$4:$I$14,1,0)),E45+E50,(E45+E50)*VLOOKUP($D9,Maschinenliste!$A$17:$AE$966,28,0))</f>
        <v>35.98688888888889</v>
      </c>
      <c r="F52" s="460">
        <f>IF(ISERROR(VLOOKUP($D9,Spez!$I$4:$I$14,1,0)),"","par charretée")</f>
      </c>
      <c r="G52" s="461">
        <f>IF(ISERROR(VLOOKUP($D9,Spez!$I$4:$I$14,1,0)),G45+G50,(G45+G50)*VLOOKUP($D9,Maschinenliste!$A$17:$AE$966,28,0))+G12</f>
        <v>35.98688888888889</v>
      </c>
      <c r="H52" s="452"/>
      <c r="I52" s="360" t="s">
        <v>64</v>
      </c>
      <c r="J52" s="360"/>
      <c r="K52" s="460">
        <f>IF(ISERROR(VLOOKUP($L9,Spez!$I$4:$I$14,1,0)),"","par charretée")</f>
      </c>
      <c r="L52" s="459">
        <f>IF(ISERROR(VLOOKUP($L9,Spez!$I$4:$I$14,1,0)),L45+L50,(L45+L50)*VLOOKUP($L9,Maschinenliste!$A$17:$AE$966,28,0))</f>
        <v>48.21979999999999</v>
      </c>
      <c r="M52" s="460">
        <f>IF(ISERROR(VLOOKUP($L9,Spez!$I$4:$I$14,1,0)),"","par charretée")</f>
      </c>
      <c r="N52" s="461">
        <f>IF(ISERROR(VLOOKUP($L9,Spez!$I$4:$I$14,1,0)),N45+N50,(N45+N50)*VLOOKUP($L9,Maschinenliste!$A$17:$AE$966,28,0))</f>
        <v>48.21979999999999</v>
      </c>
    </row>
    <row r="53" spans="1:14" ht="13.5" thickBot="1">
      <c r="A53" s="581"/>
      <c r="B53" s="360" t="s">
        <v>65</v>
      </c>
      <c r="C53" s="360"/>
      <c r="D53" s="463">
        <f>IF(ISERROR(VLOOKUP($D9,Spez!$I$4:$I$14,1,0)),"","par charretée")</f>
      </c>
      <c r="E53" s="462">
        <f>E52*(1+D37+D38)</f>
        <v>39.585577777777786</v>
      </c>
      <c r="F53" s="463">
        <f>IF(ISERROR(VLOOKUP($D9,Spez!$I$4:$I$14,1,0)),"","par charretée")</f>
      </c>
      <c r="G53" s="464">
        <f>G52*(1+F37+F38)</f>
        <v>39.585577777777786</v>
      </c>
      <c r="H53" s="465"/>
      <c r="I53" s="360" t="s">
        <v>65</v>
      </c>
      <c r="J53" s="360"/>
      <c r="K53" s="463">
        <f>IF(ISERROR(VLOOKUP($L9,Spez!$I$4:$I$14,1,0)),"","par charretée")</f>
      </c>
      <c r="L53" s="462">
        <f>L52*(1+K37+K38)</f>
        <v>53.041779999999996</v>
      </c>
      <c r="M53" s="463">
        <f>IF(ISERROR(VLOOKUP($L9,Spez!$I$4:$I$14,1,0)),"","par charretée")</f>
      </c>
      <c r="N53" s="464">
        <f>N52*(1+M37+M38)</f>
        <v>53.041779999999996</v>
      </c>
    </row>
    <row r="54" spans="1:14" ht="12.75">
      <c r="A54" s="581"/>
      <c r="B54" s="360"/>
      <c r="C54" s="360"/>
      <c r="D54" s="410">
        <f>IF(ISERROR(VLOOKUP($D9,Spez!$P$4:$P$30,1,0)),"","Fr. par charretée")</f>
      </c>
      <c r="E54" s="466">
        <f>IF(ISERROR(VLOOKUP($D9,Spez!$P$4:$P$30,1,0)),"",E53*VLOOKUP($D9,Maschinenliste!$A$17:$AE$966,28,0))</f>
      </c>
      <c r="F54" s="467">
        <f>IF(ISERROR(VLOOKUP($D9,Spez!$P$4:$P$30,1,0)),"","Fr. par charretée")</f>
      </c>
      <c r="G54" s="466">
        <f>IF(ISERROR(VLOOKUP($D9,Spez!$P$4:$P$30,1,0)),"",G53*VLOOKUP($D9,Maschinenliste!$A$17:$AE$966,28,0))</f>
      </c>
      <c r="H54" s="465"/>
      <c r="I54" s="360"/>
      <c r="J54" s="360"/>
      <c r="K54" s="410">
        <f>IF(ISERROR(VLOOKUP($L9,Spez!$P$4:$P$30,1,0)),"","Fr. par charretée")</f>
      </c>
      <c r="L54" s="466">
        <f>IF(ISERROR(VLOOKUP($L9,Spez!$P$4:$P$30,1,0)),"",L53*VLOOKUP($L9,Maschinenliste!$A$17:$AE$966,28,0))</f>
      </c>
      <c r="M54" s="467">
        <f>IF(ISERROR(VLOOKUP($L9,Spez!$P$4:$P$30,1,0)),"","Fr. par charretée")</f>
      </c>
      <c r="N54" s="466">
        <f>IF(ISERROR(VLOOKUP($L9,Spez!$P$4:$P$30,1,0)),"",N53*VLOOKUP($L9,Maschinenliste!$A$17:$AE$966,28,0))</f>
      </c>
    </row>
    <row r="55" spans="1:14" ht="13.5" thickBot="1">
      <c r="A55" s="581"/>
      <c r="B55" s="360">
        <f>IF(C12="heures (h)","","Tarif d'indemnisation (supp. compris) par heure")</f>
      </c>
      <c r="C55" s="360"/>
      <c r="D55" s="410">
        <f>IF(E28="heures (h)","","Fr. par heure")</f>
      </c>
      <c r="E55" s="468">
        <f>IF(E28="heures (h)","",IF(ISERROR(VLOOKUP($D9,Spez!$P$4:$P$44,1,0)),IF($C12="heures (h)","",IF($C12="hectares",E53*$D15/100,E53*$D15)),E53*VLOOKUP($D9,Maschinenliste!$A$17:$AE$966,28,0)*$D15))</f>
      </c>
      <c r="F55" s="458">
        <f>IF(G28="heures (h)","","Fr. je heure")</f>
      </c>
      <c r="G55" s="468">
        <f>IF(G28="heures (h)","",IF(ISERROR(VLOOKUP($D9,Spez!$P$4:$P$44,1,0)),IF($C12="heures (h)","",IF($C12="hectares",G53*$D15/100,G53*$D15)),G53*VLOOKUP($D9,Maschinenliste!$A$17:$AE$966,28,0)*$D15))</f>
      </c>
      <c r="H55" s="465"/>
      <c r="I55" s="360">
        <f>IF(K12="heures (h)","","Tarif d'indemnisation (supp. compris) par heure")</f>
      </c>
      <c r="J55" s="360"/>
      <c r="K55" s="410">
        <f>IF(L28="heures (h)","","Fr. par heure")</f>
      </c>
      <c r="L55" s="468">
        <f>IF(L28="heures (h)","",IF(ISERROR(VLOOKUP($L9,Spez!$P$4:$P$44,1,0)),IF($K12="heures (h)","",IF($K12="hectares",L53*$L15/100,L53*$L15)),L53*VLOOKUP($L9,Maschinenliste!$A$17:$AE$966,28,0)*$L15))</f>
      </c>
      <c r="M55" s="458">
        <f>IF(N28="heures (h)","","Fr. je heure")</f>
      </c>
      <c r="N55" s="468">
        <f>IF(N28="heures (h)","",IF(ISERROR(VLOOKUP($L9,Spez!$P$4:$P$44,1,0)),IF($K12="heures (h)","",IF($K12="hectares",N53*$L15/100,N53*$L15)),N53*VLOOKUP($L9,Maschinenliste!$A$17:$AE$966,28,0)*$L15))</f>
      </c>
    </row>
    <row r="56" spans="1:14" ht="13.5" hidden="1" thickTop="1">
      <c r="A56" s="581"/>
      <c r="B56" s="368" t="s">
        <v>410</v>
      </c>
      <c r="C56" s="360"/>
      <c r="D56" s="362"/>
      <c r="E56" s="469">
        <f>IF(ISERROR(VLOOKUP($D9,Spez!$F$4:$F$87,1,0)),VLOOKUP($D9,Maschinenliste!$A$17:$AE$966,6,0)-E53,VLOOKUP($D9,Maschinenliste!$A$17:$AE$966,26,0)-E53)</f>
        <v>0.41442222222221403</v>
      </c>
      <c r="F56" s="470"/>
      <c r="G56" s="471">
        <f>IF(ISERROR(VLOOKUP($D9,Spez!$F$5:$F$87,1,0)),VLOOKUP($D9,Maschinenliste!$A$17:$AE$966,6,0)-G53,VLOOKUP($D9,Maschinenliste!$A$17:$AE$966,28,0)-G53)</f>
        <v>0.41442222222221403</v>
      </c>
      <c r="H56" s="472"/>
      <c r="I56" s="368" t="s">
        <v>410</v>
      </c>
      <c r="J56" s="360"/>
      <c r="K56" s="362"/>
      <c r="L56" s="469">
        <f>IF(ISERROR(VLOOKUP($L9,Spez!$F$4:$F$87,1,0)),VLOOKUP($L9,Maschinenliste!$A$17:$AE$966,6,0)-L53,VLOOKUP($L9,Maschinenliste!$A$17:$AE$966,26,0)-L53)</f>
        <v>-0.04177999999999571</v>
      </c>
      <c r="M56" s="470"/>
      <c r="N56" s="471">
        <f>IF(ISERROR(VLOOKUP($L9,Spez!$F$5:$F$87,1,0)),VLOOKUP($L9,Maschinenliste!$A$17:$AE$966,6,0)-N53,VLOOKUP($L9,Maschinenliste!$A$17:$AE$966,28,0)-N53)</f>
        <v>-0.04177999999999571</v>
      </c>
    </row>
    <row r="57" spans="1:14" ht="12.75" hidden="1">
      <c r="A57" s="581"/>
      <c r="B57" s="368" t="s">
        <v>411</v>
      </c>
      <c r="C57" s="360"/>
      <c r="D57" s="362"/>
      <c r="E57" s="473">
        <f>IF(ISERROR(VLOOKUP($D9,Spez!$F$4:$F$87,1,0)),VLOOKUP($D9,Maschinenliste!$A$17:$AE$966,7,0)-E53,VLOOKUP($D9,Maschinenliste!$A$17:$AE$966,27,0)-E53)</f>
        <v>-39.585577777777786</v>
      </c>
      <c r="F57" s="470"/>
      <c r="G57" s="471">
        <f>IF(ISERROR(VLOOKUP($D9,Spez!$F$5:$F$87,1,0)),VLOOKUP($D9,Maschinenliste!$A$17:$AE$966,7,0)-G53,VLOOKUP($D9,Maschinenliste!$A$17:$AE$966,29,0)-G53)</f>
        <v>-39.585577777777786</v>
      </c>
      <c r="H57" s="472"/>
      <c r="I57" s="368" t="s">
        <v>411</v>
      </c>
      <c r="J57" s="360"/>
      <c r="K57" s="362"/>
      <c r="L57" s="473">
        <f>IF(ISERROR(VLOOKUP($L9,Spez!$F$4:$F$87,1,0)),VLOOKUP($L9,Maschinenliste!$A$17:$AE$966,7,0)-L53,VLOOKUP($L9,Maschinenliste!$A$17:$AE$966,27,0)-L53)</f>
        <v>-53.041779999999996</v>
      </c>
      <c r="M57" s="470"/>
      <c r="N57" s="471">
        <f>IF(ISERROR(VLOOKUP($L9,Spez!$F$5:$F$87,1,0)),VLOOKUP($L9,Maschinenliste!$A$17:$AE$966,7,0)-N53,VLOOKUP($L9,Maschinenliste!$A$17:$AE$966,29,0)-N53)</f>
        <v>-53.041779999999996</v>
      </c>
    </row>
    <row r="58" spans="1:14" ht="15.75" thickTop="1">
      <c r="A58" s="581"/>
      <c r="B58" s="368"/>
      <c r="C58" s="360"/>
      <c r="D58" s="362"/>
      <c r="E58" s="474"/>
      <c r="F58" s="475">
        <f>IF(F29*F28&gt;F30,"le degré d'utilisation dépasse 100% - veuillez corriger l'utilisation annuelle ou durée d'amortissement!","")</f>
      </c>
      <c r="I58" s="368"/>
      <c r="J58" s="360"/>
      <c r="K58" s="362"/>
      <c r="L58" s="474"/>
      <c r="M58" s="475">
        <f>IF(M29*M28&gt;M30,"le degré d'utilisation dépasse 100% - veuillez corriger l'utilisation annuelle ou durée d'amortissement!","")</f>
      </c>
      <c r="N58" s="363"/>
    </row>
    <row r="59" spans="1:14" ht="15.75">
      <c r="A59" s="581"/>
      <c r="B59" s="476" t="str">
        <f>IF(Hypothèses!$F$11&gt;0,"Les hypothèses générales ont été modifiées - le résultat (valeur par défaut) ne correspond pas à la valeur indicative officielle d’Agroscope.",IF(AND((OR(E56&gt;1,E56&lt;-1)),(OR(E57&gt;1,E57&lt;-1))),"ATTENTION - Vos données ne sont pas correctes","ok"))</f>
        <v>ok</v>
      </c>
      <c r="C59" s="360"/>
      <c r="D59" s="360"/>
      <c r="E59" s="477"/>
      <c r="F59" s="477"/>
      <c r="I59" s="476" t="str">
        <f>IF(Hypothèses!$F$11&gt;0,"Les hypothèses générales ont été modifiées - le résultat (valeur par défaut) ne correspond pas à la valeur indicative officielle d’Agroscope.",IF(AND((OR(L56&gt;1,L56&lt;-1)),(OR(L57&gt;1,L57&lt;-1))),"ATTENTION - Vos données ne sont pas correctes","ok"))</f>
        <v>ok</v>
      </c>
      <c r="J59" s="360"/>
      <c r="L59" s="477"/>
      <c r="M59" s="477"/>
      <c r="N59" s="363"/>
    </row>
    <row r="60" spans="1:13" ht="12.75">
      <c r="A60" s="581"/>
      <c r="B60" s="478">
        <f>IF(Hypothèses!$F$11&gt;0,"",IF(B59="ok","",IF(OR(E56&gt;1,E56&lt;-1),"Veuillez vérifier la puissance en kW ou la valeur résiduelle","ok")))</f>
      </c>
      <c r="C60" s="479"/>
      <c r="D60" s="360"/>
      <c r="E60" s="477"/>
      <c r="F60" s="477"/>
      <c r="G60" s="360"/>
      <c r="I60" s="478">
        <f>IF(Hypothèses!$F$11&gt;0,"",IF(I59="ok","",IF(OR(L56&gt;1,L56&lt;-1),"Veuillez vérifier la puissance en kW  ou la valeur résiduelle","ok")))</f>
      </c>
      <c r="J60" s="479"/>
      <c r="L60" s="477"/>
      <c r="M60" s="477"/>
    </row>
    <row r="61" spans="1:14" ht="12.75">
      <c r="A61" s="581"/>
      <c r="B61" s="360" t="s">
        <v>1453</v>
      </c>
      <c r="C61" s="360"/>
      <c r="D61" s="360"/>
      <c r="E61" s="360"/>
      <c r="F61" s="360"/>
      <c r="G61" s="480">
        <f>(G53/E53)-1</f>
        <v>0</v>
      </c>
      <c r="H61" s="481"/>
      <c r="I61" s="360" t="s">
        <v>1453</v>
      </c>
      <c r="J61" s="360"/>
      <c r="N61" s="480">
        <f>(N53/L53)-1</f>
        <v>0</v>
      </c>
    </row>
    <row r="62" spans="1:7" ht="12.75">
      <c r="A62" s="581"/>
      <c r="B62" s="360"/>
      <c r="C62" s="360"/>
      <c r="D62" s="360"/>
      <c r="E62" s="360"/>
      <c r="F62" s="360"/>
      <c r="G62" s="360"/>
    </row>
    <row r="63" spans="1:7" ht="12.75">
      <c r="A63" s="581"/>
      <c r="B63" s="360"/>
      <c r="C63" s="360"/>
      <c r="D63" s="360"/>
      <c r="E63" s="360"/>
      <c r="F63" s="360"/>
      <c r="G63" s="360"/>
    </row>
    <row r="64" spans="1:9" ht="18">
      <c r="A64" s="581"/>
      <c r="B64" s="364" t="str">
        <f>IF($C$4=1,"Fin",IF($C$4=2,"Calcul combinaison de machines avec opérateur","?"))</f>
        <v>Calcul combinaison de machines avec opérateur</v>
      </c>
      <c r="C64" s="360"/>
      <c r="D64" s="360"/>
      <c r="E64" s="360"/>
      <c r="F64" s="360"/>
      <c r="G64" s="360"/>
      <c r="I64" s="364" t="str">
        <f>IF($C$4=1,"Fin",IF($C$4=2,"Calcul combinaison de machines avec opérateur","?"))</f>
        <v>Calcul combinaison de machines avec opérateur</v>
      </c>
    </row>
    <row r="65" spans="1:9" ht="18">
      <c r="A65" s="581"/>
      <c r="B65" s="364"/>
      <c r="C65" s="360"/>
      <c r="D65" s="360"/>
      <c r="E65" s="360"/>
      <c r="F65" s="360"/>
      <c r="G65" s="360"/>
      <c r="I65" s="364"/>
    </row>
    <row r="66" spans="1:10" ht="12.75">
      <c r="A66" s="581"/>
      <c r="B66" s="482" t="str">
        <f>IF(C$4=2,"Machines sélectionnées (portées ou traînées):","")</f>
        <v>Machines sélectionnées (portées ou traînées):</v>
      </c>
      <c r="C66" s="360"/>
      <c r="D66" s="360"/>
      <c r="E66" s="360"/>
      <c r="F66" s="360"/>
      <c r="G66" s="360"/>
      <c r="I66" s="482" t="str">
        <f>IF(C$4=2,"Machines sélectionnées (portées ou traînées):","")</f>
        <v>Machines sélectionnées (portées ou traînées):</v>
      </c>
      <c r="J66" s="360"/>
    </row>
    <row r="67" spans="1:11" ht="12.75">
      <c r="A67" s="581"/>
      <c r="C67" s="232" t="str">
        <f>IF(C$4=2,"Machine A1","")</f>
        <v>Machine A1</v>
      </c>
      <c r="D67" s="360" t="str">
        <f>B76</f>
        <v>Herse à disques tractée, 3 m</v>
      </c>
      <c r="E67" s="360"/>
      <c r="F67" s="360"/>
      <c r="G67" s="360"/>
      <c r="I67" s="363"/>
      <c r="J67" s="232" t="str">
        <f>IF(C$4=2,"Machine B1","")</f>
        <v>Machine B1</v>
      </c>
      <c r="K67" s="360" t="str">
        <f>I76</f>
        <v>Epandeur de fumier, monocoque, 12 m3</v>
      </c>
    </row>
    <row r="68" spans="1:11" ht="12.75">
      <c r="A68" s="581"/>
      <c r="B68" s="360"/>
      <c r="C68" s="232" t="str">
        <f>IF(C$4=2,"Machine A2","")</f>
        <v>Machine A2</v>
      </c>
      <c r="D68" s="360" t="e">
        <f>B136</f>
        <v>#N/A</v>
      </c>
      <c r="E68" s="360"/>
      <c r="F68" s="360"/>
      <c r="G68" s="360"/>
      <c r="I68" s="360"/>
      <c r="J68" s="232" t="str">
        <f>IF(C$4=2,"Machine B2","")</f>
        <v>Machine B2</v>
      </c>
      <c r="K68" s="360" t="e">
        <f>I136</f>
        <v>#N/A</v>
      </c>
    </row>
    <row r="69" spans="1:11" ht="12.75">
      <c r="A69" s="581"/>
      <c r="B69" s="360"/>
      <c r="C69" s="232" t="str">
        <f>IF(C$4=2,"Machine A3","")</f>
        <v>Machine A3</v>
      </c>
      <c r="D69" s="360" t="e">
        <f>B196</f>
        <v>#N/A</v>
      </c>
      <c r="E69" s="360"/>
      <c r="F69" s="360"/>
      <c r="G69" s="360"/>
      <c r="I69" s="360"/>
      <c r="J69" s="232" t="str">
        <f>IF(C$4=2,"Machine B3","")</f>
        <v>Machine B3</v>
      </c>
      <c r="K69" s="360" t="e">
        <f>I196</f>
        <v>#N/A</v>
      </c>
    </row>
    <row r="70" spans="1:7" ht="12.75">
      <c r="A70" s="581"/>
      <c r="B70" s="360"/>
      <c r="C70" s="360"/>
      <c r="D70" s="360"/>
      <c r="E70" s="360"/>
      <c r="F70" s="360"/>
      <c r="G70" s="360"/>
    </row>
    <row r="71" spans="1:7" ht="12.75">
      <c r="A71" s="581"/>
      <c r="B71" s="360"/>
      <c r="C71" s="360"/>
      <c r="D71" s="360"/>
      <c r="E71" s="360"/>
      <c r="F71" s="360"/>
      <c r="G71" s="360"/>
    </row>
    <row r="72" spans="1:11" ht="18">
      <c r="A72" s="581"/>
      <c r="B72" s="367" t="str">
        <f>IF($C$4=1,"",IF($C$4=2,"Calcul machine A1","?"))</f>
        <v>Calcul machine A1</v>
      </c>
      <c r="C72" s="360"/>
      <c r="D72" s="483" t="str">
        <f>IF(B64="Fin","","(machines traînées ou portées)")</f>
        <v>(machines traînées ou portées)</v>
      </c>
      <c r="E72" s="360"/>
      <c r="F72" s="360"/>
      <c r="G72" s="360"/>
      <c r="I72" s="367" t="str">
        <f>IF($C$4=1,"",IF($C$4=2,"Calcul machine B1","?"))</f>
        <v>Calcul machine B1</v>
      </c>
      <c r="K72" s="483" t="str">
        <f>IF(I64="Fin","","(machines traînées ou portées)")</f>
        <v>(machines traînées ou portées)</v>
      </c>
    </row>
    <row r="73" spans="1:7" ht="12.75">
      <c r="A73" s="581"/>
      <c r="B73" s="360"/>
      <c r="C73" s="360"/>
      <c r="D73" s="360"/>
      <c r="E73" s="360"/>
      <c r="F73" s="360"/>
      <c r="G73" s="360"/>
    </row>
    <row r="74" spans="1:14" ht="13.5" thickBot="1">
      <c r="A74" s="581"/>
      <c r="B74" s="372" t="s">
        <v>30</v>
      </c>
      <c r="C74" s="373"/>
      <c r="D74" s="374" t="s">
        <v>31</v>
      </c>
      <c r="E74" s="373"/>
      <c r="F74" s="373"/>
      <c r="G74" s="373"/>
      <c r="I74" s="372" t="s">
        <v>30</v>
      </c>
      <c r="J74" s="373"/>
      <c r="K74" s="374" t="s">
        <v>31</v>
      </c>
      <c r="L74" s="373"/>
      <c r="M74" s="373"/>
      <c r="N74" s="373"/>
    </row>
    <row r="75" spans="1:14" ht="15.75">
      <c r="A75" s="581"/>
      <c r="B75" s="490"/>
      <c r="C75" s="379"/>
      <c r="D75" s="487">
        <v>4032</v>
      </c>
      <c r="E75" s="380" t="s">
        <v>228</v>
      </c>
      <c r="F75" s="381"/>
      <c r="G75" s="381"/>
      <c r="H75" s="382"/>
      <c r="I75" s="488"/>
      <c r="J75" s="383"/>
      <c r="K75" s="383"/>
      <c r="L75" s="487">
        <v>6028</v>
      </c>
      <c r="M75" s="376" t="s">
        <v>330</v>
      </c>
      <c r="N75" s="377"/>
    </row>
    <row r="76" spans="1:14" ht="16.5" thickBot="1">
      <c r="A76" s="581"/>
      <c r="B76" s="384" t="str">
        <f>VLOOKUP(D75,Maschinenliste!$A$17:$AE$966,3,0)</f>
        <v>Herse à disques tractée, 3 m</v>
      </c>
      <c r="C76" s="385"/>
      <c r="D76" s="386"/>
      <c r="E76" s="387"/>
      <c r="F76" s="388"/>
      <c r="G76" s="388"/>
      <c r="H76" s="382"/>
      <c r="I76" s="389" t="str">
        <f>VLOOKUP(L75,Maschinenliste!$A$17:$AE$966,3,0)</f>
        <v>Epandeur de fumier, monocoque, 12 m3</v>
      </c>
      <c r="J76" s="390"/>
      <c r="K76" s="390"/>
      <c r="L76" s="391"/>
      <c r="M76" s="377"/>
      <c r="N76" s="377"/>
    </row>
    <row r="77" spans="1:14" ht="12.75">
      <c r="A77" s="581"/>
      <c r="B77" s="392">
        <f>IF(ISERROR(VLOOKUP($D75,Spez!$A$4:$A$30,1,0)),"","Stop: la machine sélectionnée ne peut pas être calculée avec ce programme!")</f>
      </c>
      <c r="C77" s="381"/>
      <c r="D77" s="381"/>
      <c r="E77" s="381"/>
      <c r="F77" s="381"/>
      <c r="G77" s="381"/>
      <c r="H77" s="382"/>
      <c r="I77" s="392">
        <f>IF(ISERROR(VLOOKUP($L75,Spez!$A$4:$A$30,1,0)),"","Stop: la machine sélectionnée ne peut pas être calculée avec ce programme!")</f>
      </c>
      <c r="J77" s="376"/>
      <c r="K77" s="377"/>
      <c r="L77" s="377"/>
      <c r="M77" s="377"/>
      <c r="N77" s="377"/>
    </row>
    <row r="78" spans="1:14" ht="12.75">
      <c r="A78" s="581"/>
      <c r="B78" s="393" t="s">
        <v>898</v>
      </c>
      <c r="C78" s="394" t="str">
        <f>VLOOKUP($D75,Maschinenliste!$A$17:$AE$966,30,0)</f>
        <v>hectares</v>
      </c>
      <c r="D78" s="393" t="str">
        <f>VLOOKUP(E85,$R$5:$S$8,2,0)</f>
        <v>   sans carburant</v>
      </c>
      <c r="E78" s="395">
        <f>IF(E85=3,$T$8,"")</f>
      </c>
      <c r="F78" s="381"/>
      <c r="G78" s="373"/>
      <c r="I78" s="376"/>
      <c r="J78" s="393" t="s">
        <v>898</v>
      </c>
      <c r="K78" s="397" t="str">
        <f>VLOOKUP($L75,Maschinenliste!$A$17:$AE$966,30,0)</f>
        <v>charretées</v>
      </c>
      <c r="L78" s="396" t="str">
        <f>VLOOKUP(M85,$R$5:$S$8,2,0)</f>
        <v>   sans carburant</v>
      </c>
      <c r="M78" s="398">
        <f>IF(M85=3,$T$8,"")</f>
      </c>
      <c r="N78" s="377"/>
    </row>
    <row r="79" spans="1:14" ht="12.75" hidden="1">
      <c r="A79" s="581"/>
      <c r="B79" s="373"/>
      <c r="C79" s="399">
        <f>IF(ISERROR(VLOOKUP($D75,Spez!$D$4:$D$46,1,0)),"","Bitte geben Sie manuell die Leistung in kW ein")</f>
      </c>
      <c r="D79" s="298"/>
      <c r="E79" s="400">
        <f>IF(ISERROR(VLOOKUP($D75,Spez!$D$4:$D$45,1,0)),"","siehe Masch.bezeichnung")</f>
      </c>
      <c r="F79" s="381"/>
      <c r="G79" s="373"/>
      <c r="I79" s="376"/>
      <c r="J79" s="377"/>
      <c r="K79" s="401">
        <f>IF(ISERROR(VLOOKUP($L75,Spez!$D$4:$D$46,1,0)),"","Bitte geben Sie manuell die Leistung in kW ein")</f>
      </c>
      <c r="L79" s="273"/>
      <c r="M79" s="402">
        <f>IF(ISERROR(VLOOKUP($L75,Spez!$D$4:$D$45,1,0)),"","siehe Masch.bezeichnung")</f>
      </c>
      <c r="N79" s="377"/>
    </row>
    <row r="80" spans="1:14" ht="12.75" hidden="1">
      <c r="A80" s="581"/>
      <c r="B80" s="403"/>
      <c r="C80" s="373"/>
      <c r="D80" s="373"/>
      <c r="E80" s="380"/>
      <c r="F80" s="381"/>
      <c r="G80" s="373"/>
      <c r="I80" s="376"/>
      <c r="J80" s="404"/>
      <c r="K80" s="377"/>
      <c r="L80" s="377"/>
      <c r="M80" s="375"/>
      <c r="N80" s="377"/>
    </row>
    <row r="81" spans="1:14" ht="12.75">
      <c r="A81" s="581"/>
      <c r="B81" s="373"/>
      <c r="C81" s="393" t="s">
        <v>1451</v>
      </c>
      <c r="D81" s="405">
        <f>IF(ISERROR(VLOOKUP($D75,Spez!$D$48:$D$54,1,0)),IF(C78="heures (h)","",IF(ISERROR(VLOOKUP($D75,Spez!$N$4:$N$27,1,0)),VLOOKUP($D75,Maschinenliste!$A$17:$Y$966,4,0)/E87,VLOOKUP($D75,Maschinenliste!$A$17:$Y$966,4,0))),VLOOKUP($D75,Maschinenliste!$A$17:$Y$966,4,0))</f>
        <v>142</v>
      </c>
      <c r="E81" s="406" t="str">
        <f>IF(ISERROR(VLOOKUP($D75,Spez!$O$4:$O$56,1,0)),IF(C78="hectares","ares",IF(C78="heures (h)","",C78)),"charretées")</f>
        <v>ares</v>
      </c>
      <c r="F81" s="407" t="str">
        <f>IF(D85=0,"par heure","")</f>
        <v>par heure</v>
      </c>
      <c r="G81" s="373"/>
      <c r="I81" s="376"/>
      <c r="J81" s="375"/>
      <c r="K81" s="393" t="s">
        <v>1451</v>
      </c>
      <c r="L81" s="405">
        <f>IF(ISERROR(VLOOKUP($L75,Spez!$D$48:$D$54,1,0)),IF(K78="heures (h)","",IF(ISERROR(VLOOKUP($L75,Spez!$N$4:$N$27,1,0)),VLOOKUP($L75,Maschinenliste!$A$17:$Y$966,4,0)/L87,VLOOKUP($L75,Maschinenliste!$A$17:$Y$966,4,0))),VLOOKUP($L75,Maschinenliste!$A$17:$Y$966,4,0))</f>
        <v>1.3</v>
      </c>
      <c r="M81" s="406" t="str">
        <f>IF(ISERROR(VLOOKUP($L75,Spez!$O$4:$O$56,1,0)),IF(K78="hectares","ares",IF(K78="heures (h)","",K78)),"charretées")</f>
        <v>charretées</v>
      </c>
      <c r="N81" s="407" t="str">
        <f>IF(L85=0,"par heure","")</f>
        <v>par heure</v>
      </c>
    </row>
    <row r="82" spans="1:14" ht="12.75">
      <c r="A82" s="581"/>
      <c r="B82" s="362"/>
      <c r="C82" s="408"/>
      <c r="D82" s="409"/>
      <c r="E82" s="410"/>
      <c r="F82" s="411"/>
      <c r="G82" s="362"/>
      <c r="H82" s="382"/>
      <c r="K82" s="408"/>
      <c r="L82" s="409"/>
      <c r="M82" s="410"/>
      <c r="N82" s="411"/>
    </row>
    <row r="83" spans="1:13" ht="12.75">
      <c r="A83" s="581"/>
      <c r="B83" s="360"/>
      <c r="C83" s="412" t="s">
        <v>229</v>
      </c>
      <c r="D83" s="413">
        <f>VLOOKUP($D75,Maschinenliste!$A$17:$AE$966,4,0)</f>
        <v>142</v>
      </c>
      <c r="E83" s="414" t="e">
        <f>IF(VLOOKUP($D75,Spez!$G$4:$G$15,1,0),"Umrechnung",0)</f>
        <v>#N/A</v>
      </c>
      <c r="F83" s="360"/>
      <c r="G83" s="360"/>
      <c r="J83" s="360"/>
      <c r="K83" s="412" t="s">
        <v>229</v>
      </c>
      <c r="L83" s="413">
        <f>VLOOKUP($L75,Maschinenliste!$A$17:$AE$966,4,0)</f>
        <v>1.3</v>
      </c>
      <c r="M83" s="414" t="e">
        <f>IF(VLOOKUP($L75,Spez!$G$4:$G$15,1,0),"Umrechnung",0)</f>
        <v>#N/A</v>
      </c>
    </row>
    <row r="84" spans="1:13" ht="12.75">
      <c r="A84" s="581"/>
      <c r="B84" s="360"/>
      <c r="C84" s="412" t="s">
        <v>452</v>
      </c>
      <c r="D84" s="415">
        <f>IF(ISERROR(VLOOKUP($D75,Spez!$D$4:$D$46,1,0)),D83*E87,D79)</f>
        <v>142</v>
      </c>
      <c r="E84" s="416" t="s">
        <v>419</v>
      </c>
      <c r="F84" s="360"/>
      <c r="G84" s="360"/>
      <c r="J84" s="360"/>
      <c r="K84" s="412" t="s">
        <v>452</v>
      </c>
      <c r="L84" s="415">
        <f>IF(ISERROR(VLOOKUP($L75,Spez!$D$4:$D$46,1,0)),L83*L87,L79)</f>
        <v>1.3</v>
      </c>
      <c r="M84" s="416" t="s">
        <v>419</v>
      </c>
    </row>
    <row r="85" spans="1:13" ht="12.75">
      <c r="A85" s="581"/>
      <c r="B85" s="360"/>
      <c r="C85" s="368"/>
      <c r="D85" s="417">
        <f>IF(ISERROR(VLOOKUP($D75,Spez!$D$48:$D$60,1,0)),IF(C78="heures (h)",1,0),0)</f>
        <v>0</v>
      </c>
      <c r="E85" s="417">
        <f>VLOOKUP(D75,Maschinenliste!$A$17:$AE$966,31,0)</f>
        <v>0</v>
      </c>
      <c r="G85" s="360"/>
      <c r="J85" s="360"/>
      <c r="K85" s="368"/>
      <c r="L85" s="417">
        <f>IF(ISERROR(VLOOKUP($L75,Spez!$D$48:$D$60,1,0)),IF(K78="heures (h)",1,0),0)</f>
        <v>0</v>
      </c>
      <c r="M85" s="417">
        <f>VLOOKUP(L75,Maschinenliste!$A$17:$AE$966,31,0)</f>
        <v>0</v>
      </c>
    </row>
    <row r="86" spans="1:7" ht="13.5" thickBot="1">
      <c r="A86" s="581"/>
      <c r="B86" s="360"/>
      <c r="C86" s="360"/>
      <c r="D86" s="418"/>
      <c r="E86" s="360"/>
      <c r="F86" s="360"/>
      <c r="G86" s="360"/>
    </row>
    <row r="87" spans="1:14" ht="16.5" thickBot="1">
      <c r="A87" s="581"/>
      <c r="B87" s="360"/>
      <c r="C87" s="360"/>
      <c r="D87" s="362"/>
      <c r="E87" s="419">
        <f>IF(ISERROR(VLOOKUP($D75,Spez!$O$4:$O$45,1,0)),1,VLOOKUP($D75,Maschinenliste!$A$17:$AE$966,28,0))</f>
        <v>1</v>
      </c>
      <c r="F87" s="420" t="s">
        <v>32</v>
      </c>
      <c r="G87" s="421"/>
      <c r="H87" s="382"/>
      <c r="L87" s="419">
        <f>IF(ISERROR(VLOOKUP($L75,Spez!$O$4:$O$45,1,0)),1,VLOOKUP($L75,Maschinenliste!$A$17:$AE$966,28,0))</f>
        <v>1</v>
      </c>
      <c r="M87" s="420" t="s">
        <v>32</v>
      </c>
      <c r="N87" s="422"/>
    </row>
    <row r="88" spans="1:14" ht="13.5" thickBot="1">
      <c r="A88" s="581"/>
      <c r="B88" s="360"/>
      <c r="C88" s="360"/>
      <c r="D88" s="362"/>
      <c r="E88" s="362"/>
      <c r="F88" s="744">
        <f>IF(G127=0,"","données ont été modifiées")</f>
      </c>
      <c r="G88" s="362"/>
      <c r="H88" s="382"/>
      <c r="K88" s="362"/>
      <c r="L88" s="362"/>
      <c r="M88" s="744">
        <f>IF(N127=0,"","données ont été modifiées")</f>
      </c>
      <c r="N88" s="362"/>
    </row>
    <row r="89" spans="1:14" ht="12.75" hidden="1">
      <c r="A89" s="581"/>
      <c r="B89" s="360"/>
      <c r="C89" s="360"/>
      <c r="D89" s="362" t="s">
        <v>387</v>
      </c>
      <c r="E89" s="423">
        <f>IF(E85=1,"Eingabe","")</f>
      </c>
      <c r="F89" s="299">
        <v>1.79</v>
      </c>
      <c r="G89" s="424" t="s">
        <v>431</v>
      </c>
      <c r="H89" s="382"/>
      <c r="I89" s="360"/>
      <c r="J89" s="360"/>
      <c r="L89" s="362" t="s">
        <v>387</v>
      </c>
      <c r="M89" s="301">
        <f>F89</f>
        <v>1.79</v>
      </c>
      <c r="N89" s="424" t="s">
        <v>431</v>
      </c>
    </row>
    <row r="90" spans="1:14" ht="13.5" hidden="1" thickBot="1">
      <c r="A90" s="581"/>
      <c r="B90" s="360"/>
      <c r="C90" s="360"/>
      <c r="D90" s="362" t="s">
        <v>429</v>
      </c>
      <c r="E90" s="423">
        <f>IF(E85=2,"Eingabe","")</f>
      </c>
      <c r="F90" s="354">
        <v>1.6</v>
      </c>
      <c r="G90" s="425" t="s">
        <v>431</v>
      </c>
      <c r="H90" s="382"/>
      <c r="I90" s="360"/>
      <c r="J90" s="360"/>
      <c r="L90" s="362" t="s">
        <v>429</v>
      </c>
      <c r="M90" s="355">
        <f>F90</f>
        <v>1.6</v>
      </c>
      <c r="N90" s="425" t="s">
        <v>431</v>
      </c>
    </row>
    <row r="91" spans="1:14" ht="12.75">
      <c r="A91" s="581"/>
      <c r="B91" s="426" t="s">
        <v>36</v>
      </c>
      <c r="C91" s="427" t="s">
        <v>37</v>
      </c>
      <c r="D91" s="428" t="s">
        <v>1452</v>
      </c>
      <c r="E91" s="429"/>
      <c r="F91" s="484"/>
      <c r="G91" s="424"/>
      <c r="H91" s="382"/>
      <c r="I91" s="426" t="s">
        <v>36</v>
      </c>
      <c r="J91" s="427" t="s">
        <v>37</v>
      </c>
      <c r="K91" s="428" t="s">
        <v>1452</v>
      </c>
      <c r="L91" s="429"/>
      <c r="M91" s="484"/>
      <c r="N91" s="424"/>
    </row>
    <row r="92" spans="1:14" ht="12.75">
      <c r="A92" s="581"/>
      <c r="B92" s="360" t="s">
        <v>38</v>
      </c>
      <c r="C92" s="360" t="s">
        <v>173</v>
      </c>
      <c r="D92" s="431">
        <f>VLOOKUP($D75,Maschinenliste!$A$17:$AE$966,5,0)</f>
        <v>27000</v>
      </c>
      <c r="E92" s="362"/>
      <c r="F92" s="275">
        <f>D92</f>
        <v>27000</v>
      </c>
      <c r="G92" s="425"/>
      <c r="H92" s="382"/>
      <c r="I92" s="360" t="s">
        <v>38</v>
      </c>
      <c r="J92" s="360" t="s">
        <v>173</v>
      </c>
      <c r="K92" s="431">
        <f>VLOOKUP($L75,Maschinenliste!$A$17:$AE$966,5,0)</f>
        <v>46000</v>
      </c>
      <c r="L92" s="362"/>
      <c r="M92" s="275">
        <f>K92</f>
        <v>46000</v>
      </c>
      <c r="N92" s="425"/>
    </row>
    <row r="93" spans="1:14" ht="12.75">
      <c r="A93" s="581"/>
      <c r="B93" s="360" t="s">
        <v>39</v>
      </c>
      <c r="C93" s="360"/>
      <c r="D93" s="431"/>
      <c r="E93" s="362"/>
      <c r="F93" s="283" t="s">
        <v>66</v>
      </c>
      <c r="G93" s="425"/>
      <c r="H93" s="382"/>
      <c r="I93" s="360" t="s">
        <v>39</v>
      </c>
      <c r="J93" s="360"/>
      <c r="K93" s="431"/>
      <c r="L93" s="362"/>
      <c r="M93" s="283" t="s">
        <v>66</v>
      </c>
      <c r="N93" s="425"/>
    </row>
    <row r="94" spans="1:14" ht="12.75">
      <c r="A94" s="581"/>
      <c r="B94" s="360" t="s">
        <v>40</v>
      </c>
      <c r="C94" s="360" t="s">
        <v>82</v>
      </c>
      <c r="D94" s="431">
        <f>VLOOKUP($D75,Maschinenliste!$A$17:$AE$966,10,0)</f>
        <v>35</v>
      </c>
      <c r="E94" s="411" t="str">
        <f>$C78</f>
        <v>hectares</v>
      </c>
      <c r="F94" s="276">
        <f>D94</f>
        <v>35</v>
      </c>
      <c r="G94" s="425" t="str">
        <f>E94</f>
        <v>hectares</v>
      </c>
      <c r="H94" s="382"/>
      <c r="I94" s="360" t="s">
        <v>40</v>
      </c>
      <c r="J94" s="360" t="s">
        <v>82</v>
      </c>
      <c r="K94" s="431">
        <f>VLOOKUP($L75,Maschinenliste!$A$17:$AE$966,10,0)</f>
        <v>300</v>
      </c>
      <c r="L94" s="411" t="str">
        <f>$K78</f>
        <v>charretées</v>
      </c>
      <c r="M94" s="276">
        <f>K94</f>
        <v>300</v>
      </c>
      <c r="N94" s="425" t="str">
        <f>L94</f>
        <v>charretées</v>
      </c>
    </row>
    <row r="95" spans="1:14" ht="12.75">
      <c r="A95" s="581"/>
      <c r="B95" s="360" t="s">
        <v>41</v>
      </c>
      <c r="C95" s="360" t="s">
        <v>42</v>
      </c>
      <c r="D95" s="431">
        <f>VLOOKUP($D75,Maschinenliste!$A$17:$AE$966,12,0)</f>
        <v>15</v>
      </c>
      <c r="E95" s="362"/>
      <c r="F95" s="276">
        <f>D95</f>
        <v>15</v>
      </c>
      <c r="G95" s="425"/>
      <c r="H95" s="382"/>
      <c r="I95" s="360" t="s">
        <v>41</v>
      </c>
      <c r="J95" s="360" t="s">
        <v>42</v>
      </c>
      <c r="K95" s="431">
        <f>VLOOKUP($L75,Maschinenliste!$A$17:$AE$966,12,0)</f>
        <v>10</v>
      </c>
      <c r="L95" s="362"/>
      <c r="M95" s="276">
        <f>K95</f>
        <v>10</v>
      </c>
      <c r="N95" s="425"/>
    </row>
    <row r="96" spans="1:14" ht="12.75">
      <c r="A96" s="581"/>
      <c r="B96" s="360" t="s">
        <v>43</v>
      </c>
      <c r="C96" s="360" t="s">
        <v>82</v>
      </c>
      <c r="D96" s="431">
        <f>VLOOKUP($D75,Maschinenliste!$A$17:$AE$966,13,0)</f>
        <v>2200</v>
      </c>
      <c r="E96" s="411" t="str">
        <f>C78</f>
        <v>hectares</v>
      </c>
      <c r="F96" s="276">
        <f>D96</f>
        <v>2200</v>
      </c>
      <c r="G96" s="425" t="str">
        <f>E96</f>
        <v>hectares</v>
      </c>
      <c r="H96" s="382"/>
      <c r="I96" s="360" t="s">
        <v>43</v>
      </c>
      <c r="J96" s="360" t="s">
        <v>82</v>
      </c>
      <c r="K96" s="431">
        <f>VLOOKUP($L75,Maschinenliste!$A$17:$AE$966,13,0)</f>
        <v>4000</v>
      </c>
      <c r="L96" s="411" t="str">
        <f>K78</f>
        <v>charretées</v>
      </c>
      <c r="M96" s="276">
        <f>K96</f>
        <v>4000</v>
      </c>
      <c r="N96" s="425" t="str">
        <f>L96</f>
        <v>charretées</v>
      </c>
    </row>
    <row r="97" spans="1:14" ht="12.75">
      <c r="A97" s="581"/>
      <c r="B97" s="360" t="s">
        <v>44</v>
      </c>
      <c r="C97" s="360" t="s">
        <v>175</v>
      </c>
      <c r="D97" s="432">
        <f>D94*D95/D96</f>
        <v>0.23863636363636365</v>
      </c>
      <c r="E97" s="433"/>
      <c r="F97" s="434">
        <f>IF(LEN(F99)&gt;0,"",F94*F95/F96)</f>
        <v>0.23863636363636365</v>
      </c>
      <c r="G97" s="425"/>
      <c r="H97" s="382"/>
      <c r="I97" s="360" t="s">
        <v>44</v>
      </c>
      <c r="J97" s="360" t="s">
        <v>175</v>
      </c>
      <c r="K97" s="432">
        <f>K94*K95/K96</f>
        <v>0.75</v>
      </c>
      <c r="L97" s="433"/>
      <c r="M97" s="434">
        <f>IF(LEN(M99)&gt;0,"",M94*M95/M96)</f>
        <v>0.75</v>
      </c>
      <c r="N97" s="425"/>
    </row>
    <row r="98" spans="1:14" ht="12.75">
      <c r="A98" s="581"/>
      <c r="B98" s="360" t="s">
        <v>23</v>
      </c>
      <c r="C98" s="360" t="s">
        <v>45</v>
      </c>
      <c r="D98" s="431">
        <f>VLOOKUP($D75,Maschinenliste!$A$17:$AE$966,14,0)</f>
        <v>0.25</v>
      </c>
      <c r="E98" s="433"/>
      <c r="F98" s="435">
        <f>IF(LEN(F99)&gt;0,"",IF(F97&gt;0,IF(F97&lt;Hypothèses!$C$80,Hypothèses!$B$80,IF(AND(F97&gt;=Hypothèses!$C$80,F97&lt;Hypothèses!$C$79),Hypothèses!$B$79,IF(AND(F97&gt;=Hypothèses!$C$79,F97&lt;Hypothèses!$C$78),Hypothèses!$B$78,IF(AND(F97&gt;=Hypothèses!$C$78,F97&lt;Hypothèses!$C$77),Hypothèses!$B$77,IF(AND(F97&gt;=Hypothèses!$C$77,F97&lt;Hypothèses!$C$76),Hypothèses!$B$76,0))))),""))</f>
        <v>0.25</v>
      </c>
      <c r="G98" s="425"/>
      <c r="H98" s="382"/>
      <c r="I98" s="360" t="s">
        <v>23</v>
      </c>
      <c r="J98" s="360" t="s">
        <v>45</v>
      </c>
      <c r="K98" s="431">
        <f>VLOOKUP($L75,Maschinenliste!$A$17:$AE$966,14,0)</f>
        <v>0.1</v>
      </c>
      <c r="L98" s="433"/>
      <c r="M98" s="435">
        <f>IF(LEN(M99)&gt;0,"",IF(M97&gt;0,IF(M97&lt;Hypothèses!$C$80,Hypothèses!$B$80,IF(AND(M97&gt;=Hypothèses!$C$80,M97&lt;Hypothèses!$C$79),Hypothèses!$B$79,IF(AND(M97&gt;=Hypothèses!$C$79,M97&lt;Hypothèses!$C$78),Hypothèses!$B$78,IF(AND(M97&gt;=Hypothèses!$C$78,M97&lt;Hypothèses!$C$77),Hypothèses!$B$77,IF(AND(M97&gt;=Hypothèses!$C$77,M97&lt;Hypothèses!$C$76),Hypothèses!$B$76,0))))),""))</f>
        <v>0.1</v>
      </c>
      <c r="N98" s="425"/>
    </row>
    <row r="99" spans="1:14" ht="14.25">
      <c r="A99" s="581"/>
      <c r="B99" s="360" t="s">
        <v>46</v>
      </c>
      <c r="C99" s="360" t="s">
        <v>173</v>
      </c>
      <c r="D99" s="436"/>
      <c r="E99" s="437"/>
      <c r="F99" s="276"/>
      <c r="G99" s="425"/>
      <c r="H99" s="382"/>
      <c r="I99" s="360" t="s">
        <v>46</v>
      </c>
      <c r="J99" s="360" t="s">
        <v>173</v>
      </c>
      <c r="K99" s="436"/>
      <c r="L99" s="437"/>
      <c r="M99" s="276"/>
      <c r="N99" s="425"/>
    </row>
    <row r="100" spans="1:14" ht="12.75">
      <c r="A100" s="581"/>
      <c r="B100" s="360" t="s">
        <v>47</v>
      </c>
      <c r="C100" s="360" t="s">
        <v>175</v>
      </c>
      <c r="D100" s="431" t="str">
        <f>VLOOKUP($D75,Maschinenliste!$A$17:$AE$966,11,0)</f>
        <v> </v>
      </c>
      <c r="E100" s="362"/>
      <c r="F100" s="276" t="str">
        <f>D100</f>
        <v> </v>
      </c>
      <c r="G100" s="438">
        <f>IF(LEN(D100)&gt;1,$D84*F100*Hypothèses!$C$25,"")</f>
      </c>
      <c r="H100" s="439"/>
      <c r="I100" s="360" t="s">
        <v>47</v>
      </c>
      <c r="J100" s="360" t="s">
        <v>175</v>
      </c>
      <c r="K100" s="431">
        <f>VLOOKUP($L75,Maschinenliste!$A$17:$AE$966,11,0)</f>
        <v>0</v>
      </c>
      <c r="L100" s="362"/>
      <c r="M100" s="276">
        <f>K100</f>
        <v>0</v>
      </c>
      <c r="N100" s="438">
        <f>IF(LEN(K100)&gt;1,$L84*M100*Hypothèses!$C$25,"")</f>
      </c>
    </row>
    <row r="101" spans="1:14" ht="12.75">
      <c r="A101" s="581"/>
      <c r="B101" s="360" t="s">
        <v>1306</v>
      </c>
      <c r="C101" s="360" t="s">
        <v>45</v>
      </c>
      <c r="D101" s="431">
        <f>VLOOKUP($D75,Maschinenliste!$A$17:$AE$966,15,0)</f>
        <v>1.1</v>
      </c>
      <c r="E101" s="362"/>
      <c r="F101" s="276">
        <f>D101</f>
        <v>1.1</v>
      </c>
      <c r="G101" s="754">
        <f>(F94*G113)</f>
        <v>472.50000000000006</v>
      </c>
      <c r="H101" s="382"/>
      <c r="I101" s="360" t="s">
        <v>1306</v>
      </c>
      <c r="J101" s="360" t="s">
        <v>45</v>
      </c>
      <c r="K101" s="431">
        <f>VLOOKUP($L75,Maschinenliste!$A$17:$AE$966,15,0)</f>
        <v>0.4</v>
      </c>
      <c r="L101" s="362"/>
      <c r="M101" s="276">
        <f>K101</f>
        <v>0.4</v>
      </c>
      <c r="N101" s="754">
        <f>(M94*N113)</f>
        <v>1380.0000000000002</v>
      </c>
    </row>
    <row r="102" spans="1:14" ht="12.75">
      <c r="A102" s="581"/>
      <c r="B102" s="360" t="s">
        <v>49</v>
      </c>
      <c r="C102" s="360" t="s">
        <v>176</v>
      </c>
      <c r="D102" s="431">
        <f>VLOOKUP($D75,Maschinenliste!$A$17:$AE$966,16,0)</f>
        <v>35</v>
      </c>
      <c r="E102" s="362"/>
      <c r="F102" s="276">
        <f>D102</f>
        <v>35</v>
      </c>
      <c r="G102" s="425"/>
      <c r="H102" s="382"/>
      <c r="I102" s="360" t="s">
        <v>49</v>
      </c>
      <c r="J102" s="360" t="s">
        <v>176</v>
      </c>
      <c r="K102" s="431">
        <f>VLOOKUP($L75,Maschinenliste!$A$17:$AE$966,16,0)</f>
        <v>132</v>
      </c>
      <c r="L102" s="362"/>
      <c r="M102" s="276">
        <f>K102</f>
        <v>132</v>
      </c>
      <c r="N102" s="425"/>
    </row>
    <row r="103" spans="1:14" ht="12.75">
      <c r="A103" s="581"/>
      <c r="B103" s="360" t="s">
        <v>52</v>
      </c>
      <c r="C103" s="360" t="s">
        <v>175</v>
      </c>
      <c r="D103" s="432">
        <v>0.1</v>
      </c>
      <c r="E103" s="362"/>
      <c r="F103" s="277">
        <f>D103</f>
        <v>0.1</v>
      </c>
      <c r="G103" s="425"/>
      <c r="H103" s="382"/>
      <c r="I103" s="360" t="s">
        <v>52</v>
      </c>
      <c r="J103" s="360" t="s">
        <v>175</v>
      </c>
      <c r="K103" s="432">
        <v>0.1</v>
      </c>
      <c r="L103" s="362"/>
      <c r="M103" s="277">
        <f>K103</f>
        <v>0.1</v>
      </c>
      <c r="N103" s="425"/>
    </row>
    <row r="104" spans="1:14" ht="12.75">
      <c r="A104" s="581"/>
      <c r="B104" s="360" t="s">
        <v>53</v>
      </c>
      <c r="C104" s="360"/>
      <c r="D104" s="432">
        <v>0</v>
      </c>
      <c r="E104" s="362"/>
      <c r="F104" s="277">
        <f>D104</f>
        <v>0</v>
      </c>
      <c r="G104" s="425"/>
      <c r="H104" s="382"/>
      <c r="I104" s="360" t="s">
        <v>53</v>
      </c>
      <c r="J104" s="360"/>
      <c r="K104" s="432">
        <v>0</v>
      </c>
      <c r="L104" s="362"/>
      <c r="M104" s="277">
        <f>K104</f>
        <v>0</v>
      </c>
      <c r="N104" s="425"/>
    </row>
    <row r="105" spans="1:14" ht="12.75">
      <c r="A105" s="581"/>
      <c r="B105" s="360"/>
      <c r="C105" s="360"/>
      <c r="D105" s="430"/>
      <c r="E105" s="362"/>
      <c r="F105" s="430"/>
      <c r="G105" s="441"/>
      <c r="H105" s="382"/>
      <c r="I105" s="360"/>
      <c r="J105" s="360"/>
      <c r="K105" s="430"/>
      <c r="L105" s="362"/>
      <c r="M105" s="430"/>
      <c r="N105" s="441"/>
    </row>
    <row r="106" spans="1:14" ht="12.75">
      <c r="A106" s="581"/>
      <c r="B106" s="427" t="s">
        <v>54</v>
      </c>
      <c r="C106" s="442"/>
      <c r="D106" s="443" t="s">
        <v>67</v>
      </c>
      <c r="E106" s="444" t="s">
        <v>68</v>
      </c>
      <c r="F106" s="443" t="s">
        <v>67</v>
      </c>
      <c r="G106" s="445" t="s">
        <v>69</v>
      </c>
      <c r="H106" s="382"/>
      <c r="I106" s="427" t="s">
        <v>54</v>
      </c>
      <c r="J106" s="442"/>
      <c r="K106" s="443" t="s">
        <v>67</v>
      </c>
      <c r="L106" s="444" t="s">
        <v>68</v>
      </c>
      <c r="M106" s="443" t="s">
        <v>67</v>
      </c>
      <c r="N106" s="445" t="s">
        <v>69</v>
      </c>
    </row>
    <row r="107" spans="1:14" ht="12.75">
      <c r="A107" s="581"/>
      <c r="B107" s="360" t="s">
        <v>55</v>
      </c>
      <c r="C107" s="360"/>
      <c r="D107" s="446">
        <f>(D92-(D92*D98))/D95</f>
        <v>1350</v>
      </c>
      <c r="E107" s="362"/>
      <c r="F107" s="446">
        <f>IF(LEN(F99)&gt;0,(F92-F99)/F95,(F92-(F92*F98))/F95)</f>
        <v>1350</v>
      </c>
      <c r="G107" s="425"/>
      <c r="H107" s="382"/>
      <c r="I107" s="360" t="s">
        <v>55</v>
      </c>
      <c r="J107" s="360"/>
      <c r="K107" s="446">
        <f>(K92-(K92*K98))/K95</f>
        <v>4140</v>
      </c>
      <c r="L107" s="362"/>
      <c r="M107" s="446">
        <f>IF(LEN(M99)&gt;0,(M92-M99)/M95,(M92-(M92*M98))/M95)</f>
        <v>4140</v>
      </c>
      <c r="N107" s="425"/>
    </row>
    <row r="108" spans="1:14" ht="12.75">
      <c r="A108" s="581"/>
      <c r="B108" s="360" t="s">
        <v>56</v>
      </c>
      <c r="C108" s="360"/>
      <c r="D108" s="446">
        <f>(D92-(D98*D92))*Hypothèses!$C$13/100*0.6+(D98*D92*Hypothèses!$C$13/100)</f>
        <v>472.5</v>
      </c>
      <c r="E108" s="362"/>
      <c r="F108" s="446">
        <f>IF(LEN(F99)&gt;0,(F92-F99)*Hypothèses!$C$13/100*0.6+(F99*Hypothèses!$C$13/100),(F92-(F98*F92))*Hypothèses!$C$13/100*0.6+(F98*F92*Hypothèses!$C$13/100))</f>
        <v>472.5</v>
      </c>
      <c r="G108" s="425"/>
      <c r="H108" s="382"/>
      <c r="I108" s="360" t="s">
        <v>56</v>
      </c>
      <c r="J108" s="360"/>
      <c r="K108" s="446">
        <f>(K92-(K98*K92))*Hypothèses!$C$13/100*0.6+(K98*K92*Hypothèses!$C$13/100)</f>
        <v>736</v>
      </c>
      <c r="L108" s="362"/>
      <c r="M108" s="446">
        <f>IF(LEN(M99)&gt;0,(M92-M99)*Hypothèses!$C$13/100*0.6+(M99*Hypothèses!$C$13/100),(M92-(M98*M92))*Hypothèses!$C$13/100*0.6+(M98*M92*Hypothèses!$C$13/100))</f>
        <v>736</v>
      </c>
      <c r="N108" s="425"/>
    </row>
    <row r="109" spans="1:14" ht="12.75">
      <c r="A109" s="581"/>
      <c r="B109" s="360" t="s">
        <v>57</v>
      </c>
      <c r="C109" s="360"/>
      <c r="D109" s="446">
        <f>IF(ISERROR(VLOOKUP($D75,Spez!$K$4:$K$36,1,0)),IF((VLOOKUP($D75,Maschinenliste!$A$17:$AE$966,31,0)&gt;0),D102*Hypothèses!$C$17,D102*Hypothèses!$C$18),D102*Hypothèses!$C$18)</f>
        <v>210</v>
      </c>
      <c r="E109" s="362"/>
      <c r="F109" s="446">
        <f>IF(ISERROR(VLOOKUP($D75,Spez!$K$4:$K$36,1,0)),IF((VLOOKUP($D75,Maschinenliste!$A$17:$AE$966,31,0)&gt;0),F102*Hypothèses!$C$17,F102*Hypothèses!$C$18),F102*Hypothèses!$C$18)</f>
        <v>210</v>
      </c>
      <c r="G109" s="425"/>
      <c r="H109" s="382"/>
      <c r="I109" s="360" t="s">
        <v>57</v>
      </c>
      <c r="J109" s="360"/>
      <c r="K109" s="446">
        <f>IF(ISERROR(VLOOKUP($L75,Spez!$K$4:$K$36,1,0)),IF((VLOOKUP($L75,Maschinenliste!$A$17:$AE$966,31,0)&gt;0),K102*Hypothèses!$C$17,K102*Hypothèses!$C$18),K102*Hypothèses!$C$18)</f>
        <v>792</v>
      </c>
      <c r="L109" s="362"/>
      <c r="M109" s="446">
        <f>IF(ISERROR(VLOOKUP($L75,Spez!$K$4:$K$36,1,0)),IF((VLOOKUP($L75,Maschinenliste!$A$17:$AE$966,31,0)&gt;0),M102*Hypothèses!$C$17,M102*Hypothèses!$C$18),M102*Hypothèses!$C$18)</f>
        <v>792</v>
      </c>
      <c r="N109" s="425"/>
    </row>
    <row r="110" spans="1:14" ht="12.75">
      <c r="A110" s="581"/>
      <c r="B110" s="447" t="s">
        <v>58</v>
      </c>
      <c r="C110" s="447"/>
      <c r="D110" s="446">
        <f>VLOOKUP($D75,Maschinenliste!$A$17:$AE$966,29,0)</f>
        <v>54</v>
      </c>
      <c r="E110" s="362"/>
      <c r="F110" s="753">
        <f>D110</f>
        <v>54</v>
      </c>
      <c r="G110" s="425"/>
      <c r="H110" s="382"/>
      <c r="I110" s="447" t="s">
        <v>58</v>
      </c>
      <c r="J110" s="447"/>
      <c r="K110" s="446">
        <f>VLOOKUP($L75,Maschinenliste!$A$17:$AE$966,29,0)</f>
        <v>92</v>
      </c>
      <c r="L110" s="362"/>
      <c r="M110" s="753">
        <f>K110</f>
        <v>92</v>
      </c>
      <c r="N110" s="425"/>
    </row>
    <row r="111" spans="1:14" ht="13.5" thickBot="1">
      <c r="A111" s="581"/>
      <c r="B111" s="448" t="s">
        <v>59</v>
      </c>
      <c r="C111" s="360"/>
      <c r="D111" s="449">
        <f>SUM(D107:D110)</f>
        <v>2086.5</v>
      </c>
      <c r="E111" s="450">
        <f>D111/D94</f>
        <v>59.614285714285714</v>
      </c>
      <c r="F111" s="449">
        <f>SUM(F107:F110)</f>
        <v>2086.5</v>
      </c>
      <c r="G111" s="451">
        <f>F111/F94</f>
        <v>59.614285714285714</v>
      </c>
      <c r="H111" s="452"/>
      <c r="I111" s="448" t="s">
        <v>59</v>
      </c>
      <c r="J111" s="360"/>
      <c r="K111" s="449">
        <f>SUM(K107:K110)</f>
        <v>5760</v>
      </c>
      <c r="L111" s="450">
        <f>K111/K94</f>
        <v>19.2</v>
      </c>
      <c r="M111" s="449">
        <f>SUM(M107:M110)</f>
        <v>5760</v>
      </c>
      <c r="N111" s="451">
        <f>M111/M94</f>
        <v>19.2</v>
      </c>
    </row>
    <row r="112" spans="1:14" ht="13.5" thickTop="1">
      <c r="A112" s="581"/>
      <c r="B112" s="360"/>
      <c r="C112" s="360"/>
      <c r="D112" s="453"/>
      <c r="E112" s="454"/>
      <c r="F112" s="453"/>
      <c r="G112" s="455"/>
      <c r="H112" s="452"/>
      <c r="I112" s="360"/>
      <c r="J112" s="360"/>
      <c r="K112" s="453"/>
      <c r="L112" s="454"/>
      <c r="M112" s="453"/>
      <c r="N112" s="455"/>
    </row>
    <row r="113" spans="1:14" ht="12.75">
      <c r="A113" s="581"/>
      <c r="B113" s="456" t="s">
        <v>1307</v>
      </c>
      <c r="C113" s="360"/>
      <c r="D113" s="430"/>
      <c r="E113" s="454">
        <f>$D92/$D96*D101</f>
        <v>13.500000000000002</v>
      </c>
      <c r="F113" s="430"/>
      <c r="G113" s="455">
        <f>IF(F93="Occasion",$D92/$D96*F101,F92/F96*F101)</f>
        <v>13.500000000000002</v>
      </c>
      <c r="H113" s="452"/>
      <c r="I113" s="456" t="s">
        <v>1307</v>
      </c>
      <c r="J113" s="360"/>
      <c r="K113" s="430"/>
      <c r="L113" s="454">
        <f>$K92/$K96*K101</f>
        <v>4.6000000000000005</v>
      </c>
      <c r="M113" s="430"/>
      <c r="N113" s="455">
        <f>IF(M93="Occasion",$K92/$K96*M101,M92/M96*M101)</f>
        <v>4.6000000000000005</v>
      </c>
    </row>
    <row r="114" spans="1:14" ht="12.75">
      <c r="A114" s="581"/>
      <c r="B114" s="456" t="s">
        <v>61</v>
      </c>
      <c r="C114" s="360"/>
      <c r="D114" s="430"/>
      <c r="E114" s="454">
        <f>IF(ISERROR(VLOOKUP($D75,Spez!$H$4:$H$36,1,0)),IF(ISERROR(VLOOKUP($D75,Spez!$G$4:$G$36,1,0)),IF($E85=0,0,IF($E85=1,$D84*Hypothèses!$C$25*D100*Hypothèses!$C$22,IF($E85=2,$D84*Hypothèses!$C$26*D100*Hypothèses!$C$23,IF($E85=3,$D84*Hypothèses!$C$26*D100*Hypothèses!$C$24,"?")))),IF($E85=1,$D84*Hypothèses!$C$25*D100*Hypothèses!$C$22/$D83*100,IF($E85=2,$D84*Hypothèses!$C$26*D100*Hypothèses!$C$23/$D83*100))),$D84*Hypothèses!$C$25*D100*Hypothèses!$C$22/$D83)</f>
        <v>0</v>
      </c>
      <c r="F114" s="430"/>
      <c r="G114" s="455">
        <f>IF(ISERROR(VLOOKUP($D75,Spez!$H$4:$H$36,1,0)),IF(ISERROR(VLOOKUP($D75,Spez!$G$4:$G$36,1,0)),IF($E85=0,0,IF($E85=1,$D84*Hypothèses!$C$25*F100*F$23,IF($E85=2,$D84*Hypothèses!$C$26*F100*F$24,IF($E85=3,$D84*Hypothèses!$C$26*F100*Hypothèses!$C$24,"?")))),IF($E85=1,$D84*Hypothèses!$C$25*F100*F$23/$D83*100,IF($E85=2,$D84*Hypothèses!$C$26*F100*F$24/$D83*100))),$D84*Hypothèses!$C$25*F100*F$23/$D83)</f>
        <v>0</v>
      </c>
      <c r="H114" s="452"/>
      <c r="I114" s="456" t="s">
        <v>61</v>
      </c>
      <c r="J114" s="360"/>
      <c r="K114" s="430"/>
      <c r="L114" s="454">
        <f>IF(ISERROR(VLOOKUP($L75,Spez!$H$4:$H$36,1,0)),IF(ISERROR(VLOOKUP($L75,Spez!$G$4:$G$36,1,0)),IF($M85=0,0,IF($M85=1,$L84*Hypothèses!$C$25*K100*Hypothèses!$C$22,IF($M85=2,$L84*Hypothèses!$C$26*K100*Hypothèses!$C$23,IF($M85=3,$L84*Hypothèses!$C$26*K100*Hypothèses!$C$24,"?")))),IF($M85=1,$L84*Hypothèses!$C$25*K100*Hypothèses!$C$22/$L83*100,IF($M85=2,$L84*Hypothèses!$C$26*K100*Hypothèses!$C$23/$L83*100))),$L84*Hypothèses!$C$25*K100*Hypothèses!$C$22/$L83)</f>
        <v>0</v>
      </c>
      <c r="M114" s="430"/>
      <c r="N114" s="455">
        <f>IF(ISERROR(VLOOKUP($L75,Spez!$H$4:$H$36,1,0)),IF(ISERROR(VLOOKUP($L75,Spez!$G$4:$G$36,1,0)),IF($M85=0,0,IF($M85=1,$L84*Hypothèses!$C$25*M100*M$23,IF($M85=2,$L84*Hypothèses!$C$26*M100*M$24,IF($M85=3,$L84*Hypothèses!$C$26*M100*Hypothèses!$C$24,"?")))),IF($M85=1,$L84*Hypothèses!$C$25*M100*M$23/$L83*100,IF($M85=2,$L84*Hypothèses!$C$26*M100*M$24/$L83*100))),$L84*Hypothèses!$C$25*M100*M$23/$L83)</f>
        <v>0</v>
      </c>
    </row>
    <row r="115" spans="1:14" ht="12.75">
      <c r="A115" s="581"/>
      <c r="B115" s="456" t="s">
        <v>62</v>
      </c>
      <c r="C115" s="360"/>
      <c r="D115" s="430"/>
      <c r="E115" s="454">
        <f>IF(ISERROR(VLOOKUP($D75,Spez!$M$4:$M$19,1,0)),IF(VLOOKUP($D75,Maschinenliste!$A$17:$AE$966,31,0)=0,VLOOKUP($D75,Maschinenliste!$A$17:$AE$966,23,0),0),VLOOKUP($D75,Hypothèses!$B$30:$C$34,2,0))</f>
        <v>0</v>
      </c>
      <c r="F115" s="430"/>
      <c r="G115" s="796">
        <f>E115</f>
        <v>0</v>
      </c>
      <c r="H115" s="452"/>
      <c r="I115" s="456" t="s">
        <v>62</v>
      </c>
      <c r="J115" s="360"/>
      <c r="K115" s="430"/>
      <c r="L115" s="454">
        <f>IF(ISERROR(VLOOKUP($L75,Spez!$M$4:$M$19,1,0)),IF(VLOOKUP($L75,Maschinenliste!$A$17:$AE$966,31,0)=0,VLOOKUP($L75,Maschinenliste!$A$17:$AE$966,23,0),0),VLOOKUP($D75,Hypothèses!$B$30:$C$34,2,0))</f>
        <v>0</v>
      </c>
      <c r="M115" s="430"/>
      <c r="N115" s="796">
        <f>L115</f>
        <v>0</v>
      </c>
    </row>
    <row r="116" spans="1:14" ht="13.5" thickBot="1">
      <c r="A116" s="581"/>
      <c r="B116" s="457" t="s">
        <v>63</v>
      </c>
      <c r="C116" s="360"/>
      <c r="D116" s="430"/>
      <c r="E116" s="450">
        <f>SUM(E113:E115)</f>
        <v>13.500000000000002</v>
      </c>
      <c r="F116" s="430"/>
      <c r="G116" s="451">
        <f>SUM(G113:G115)</f>
        <v>13.500000000000002</v>
      </c>
      <c r="H116" s="452"/>
      <c r="I116" s="457" t="s">
        <v>63</v>
      </c>
      <c r="J116" s="360"/>
      <c r="K116" s="430"/>
      <c r="L116" s="450">
        <f>SUM(L113:L115)</f>
        <v>4.6000000000000005</v>
      </c>
      <c r="M116" s="430"/>
      <c r="N116" s="451">
        <f>SUM(N113:N115)</f>
        <v>4.6000000000000005</v>
      </c>
    </row>
    <row r="117" spans="1:14" ht="13.5" thickTop="1">
      <c r="A117" s="581"/>
      <c r="B117" s="360"/>
      <c r="C117" s="360"/>
      <c r="D117" s="430"/>
      <c r="E117" s="362"/>
      <c r="F117" s="430"/>
      <c r="G117" s="425"/>
      <c r="H117" s="382"/>
      <c r="I117" s="360"/>
      <c r="J117" s="360"/>
      <c r="K117" s="430"/>
      <c r="L117" s="362"/>
      <c r="M117" s="430"/>
      <c r="N117" s="425"/>
    </row>
    <row r="118" spans="1:14" ht="12.75">
      <c r="A118" s="581"/>
      <c r="B118" s="360" t="s">
        <v>64</v>
      </c>
      <c r="C118" s="360"/>
      <c r="D118" s="587">
        <f>IF(ISERROR(VLOOKUP($D75,Spez!$I$4:$I$14,1,0)),"","par charretée")</f>
      </c>
      <c r="E118" s="459">
        <f>IF(ISERROR(VLOOKUP($D75,Spez!$I$4:$I$14,1,0)),E111+E116,(E111+E116)*VLOOKUP($D75,Maschinenliste!$A$17:$AE$966,28,0))</f>
        <v>73.11428571428571</v>
      </c>
      <c r="F118" s="587">
        <f>IF(ISERROR(VLOOKUP($D75,Spez!$I$4:$I$14,1,0)),"","par charretée")</f>
      </c>
      <c r="G118" s="461">
        <f>IF(ISERROR(VLOOKUP($D75,Spez!$I$4:$I$14,1,0)),G111+G116,(G111+G116)*VLOOKUP($D75,Maschinenliste!$A$17:$AE$966,28,0))</f>
        <v>73.11428571428571</v>
      </c>
      <c r="H118" s="452"/>
      <c r="I118" s="360" t="s">
        <v>64</v>
      </c>
      <c r="J118" s="360"/>
      <c r="K118" s="587">
        <f>IF(ISERROR(VLOOKUP($L75,Spez!$I$4:$I$14,1,0)),"","par charretée")</f>
      </c>
      <c r="L118" s="459">
        <f>IF(ISERROR(VLOOKUP($L75,Spez!$I$4:$I$14,1,0)),L111+L116,(L111+L116)*VLOOKUP($L75,Maschinenliste!$A$17:$AE$966,28,0))</f>
        <v>23.8</v>
      </c>
      <c r="M118" s="587">
        <f>IF(ISERROR(VLOOKUP($L75,Spez!$I$4:$I$14,1,0)),"","par charretée")</f>
      </c>
      <c r="N118" s="461">
        <f>IF(ISERROR(VLOOKUP($L75,Spez!$I$4:$I$14,1,0)),N111+N116,(N111+N116)*VLOOKUP($L75,Maschinenliste!$A$17:$AE$966,28,0))</f>
        <v>23.8</v>
      </c>
    </row>
    <row r="119" spans="1:14" ht="13.5" thickBot="1">
      <c r="A119" s="581"/>
      <c r="B119" s="360" t="s">
        <v>65</v>
      </c>
      <c r="C119" s="360"/>
      <c r="D119" s="588">
        <f>IF(ISERROR(VLOOKUP($D75,Spez!$I$4:$I$14,1,0)),"","par charretée")</f>
      </c>
      <c r="E119" s="462">
        <f>E118*(1+D103+D104)</f>
        <v>80.42571428571429</v>
      </c>
      <c r="F119" s="588">
        <f>IF(ISERROR(VLOOKUP($D75,Spez!$I$4:$I$14,1,0)),"","par charretée")</f>
      </c>
      <c r="G119" s="464">
        <f>G118*(1+F103+F104)</f>
        <v>80.42571428571429</v>
      </c>
      <c r="H119" s="465"/>
      <c r="I119" s="360" t="s">
        <v>65</v>
      </c>
      <c r="J119" s="360"/>
      <c r="K119" s="588">
        <f>IF(ISERROR(VLOOKUP($L75,Spez!$I$4:$I$14,1,0)),"","par charretée")</f>
      </c>
      <c r="L119" s="462">
        <f>L118*(1+K103+K104)</f>
        <v>26.180000000000003</v>
      </c>
      <c r="M119" s="588">
        <f>IF(ISERROR(VLOOKUP($L75,Spez!$I$4:$I$14,1,0)),"","par charretée")</f>
      </c>
      <c r="N119" s="464">
        <f>N118*(1+M103+M104)</f>
        <v>26.180000000000003</v>
      </c>
    </row>
    <row r="120" spans="1:14" ht="12.75">
      <c r="A120" s="581"/>
      <c r="B120" s="360"/>
      <c r="C120" s="360"/>
      <c r="D120" s="410">
        <f>IF(ISERROR(VLOOKUP($D75,Spez!$P$4:$P$30,1,0)),"","Fr. par charretée")</f>
      </c>
      <c r="E120" s="466">
        <f>IF(ISERROR(VLOOKUP($D75,Spez!$P$4:$P$30,1,0)),"",E119*VLOOKUP($D75,Maschinenliste!$A$17:$AE$966,28,0))</f>
      </c>
      <c r="F120" s="467">
        <f>IF(ISERROR(VLOOKUP($D75,Spez!$P$4:$P$30,1,0)),"","Fr. par charretée")</f>
      </c>
      <c r="G120" s="466">
        <f>IF(ISERROR(VLOOKUP($D75,Spez!$P$4:$P$30,1,0)),"",G119*VLOOKUP($D75,Maschinenliste!$A$17:$AE$966,28,0))</f>
      </c>
      <c r="H120" s="465"/>
      <c r="I120" s="360"/>
      <c r="J120" s="360"/>
      <c r="K120" s="410">
        <f>IF(ISERROR(VLOOKUP($L75,Spez!$P$4:$P$30,1,0)),"","Fr. par charretée")</f>
      </c>
      <c r="L120" s="466">
        <f>IF(ISERROR(VLOOKUP($L75,Spez!$P$4:$P$30,1,0)),"",L119*VLOOKUP($L75,Maschinenliste!$A$17:$AE$966,28,0))</f>
      </c>
      <c r="M120" s="467">
        <f>IF(ISERROR(VLOOKUP($L75,Spez!$P$4:$P$30,1,0)),"","Fr. par charretée")</f>
      </c>
      <c r="N120" s="466">
        <f>IF(ISERROR(VLOOKUP($L75,Spez!$P$4:$P$30,1,0)),"",N119*VLOOKUP($L75,Maschinenliste!$A$17:$AE$966,28,0))</f>
      </c>
    </row>
    <row r="121" spans="1:14" ht="13.5" thickBot="1">
      <c r="A121" s="581"/>
      <c r="B121" s="360" t="str">
        <f>IF(C78="heures (h)","","Tarif d'indemnisation (supp. compris) par heure")</f>
        <v>Tarif d'indemnisation (supp. compris) par heure</v>
      </c>
      <c r="C121" s="360"/>
      <c r="D121" s="410" t="str">
        <f>IF(E94="heures (h)","","Fr. par heure")</f>
        <v>Fr. par heure</v>
      </c>
      <c r="E121" s="468">
        <f>IF(E94="heures (h)","",IF(ISERROR(VLOOKUP($D75,Spez!$P$4:$P$44,1,0)),IF($C78="heures (h)","",IF($C78="hectares",E119*$D81/100,E119*$D81)),E119*VLOOKUP($D75,Maschinenliste!$A$17:$AE$966,28,0)*$D81))</f>
        <v>114.20451428571431</v>
      </c>
      <c r="F121" s="458" t="str">
        <f>IF(G94="heures (h)","","Fr. je heure")</f>
        <v>Fr. je heure</v>
      </c>
      <c r="G121" s="468">
        <f>IF(G94="heures (h)","",IF(ISERROR(VLOOKUP($D75,Spez!$P$4:$P$44,1,0)),IF($C78="heures (h)","",IF($C78="hectares",G119*$D81/100,G119*$D81)),G119*VLOOKUP($D75,Maschinenliste!$A$17:$AE$966,28,0)*$D81))</f>
        <v>114.20451428571431</v>
      </c>
      <c r="H121" s="465"/>
      <c r="I121" s="360" t="str">
        <f>IF(K78="heures (h)","","Tarif d'indemnisation (supp. compris) par heure")</f>
        <v>Tarif d'indemnisation (supp. compris) par heure</v>
      </c>
      <c r="J121" s="360"/>
      <c r="K121" s="410" t="str">
        <f>IF(L94="heures (h)","","Fr. par heure")</f>
        <v>Fr. par heure</v>
      </c>
      <c r="L121" s="468">
        <f>IF(L94="heures (h)","",IF(ISERROR(VLOOKUP($L75,Spez!$P$4:$P$44,1,0)),IF($K78="heures (h)","",IF($K78="hectares",L119*$L81/100,L119*$L81)),L119*VLOOKUP($L75,Maschinenliste!$A$17:$AE$966,28,0)*$L81))</f>
        <v>34.034000000000006</v>
      </c>
      <c r="M121" s="458" t="str">
        <f>IF(N94="heures (h)","","Fr. je heure")</f>
        <v>Fr. je heure</v>
      </c>
      <c r="N121" s="468">
        <f>IF(N94="heures (h)","",IF(ISERROR(VLOOKUP($L75,Spez!$P$4:$P$44,1,0)),IF($K78="heures (h)","",IF($K78="hectares",N119*$L81/100,N119*$L81)),N119*VLOOKUP($L75,Maschinenliste!$A$17:$AE$966,28,0)*$L81))</f>
        <v>34.034000000000006</v>
      </c>
    </row>
    <row r="122" spans="1:14" ht="13.5" hidden="1" thickTop="1">
      <c r="A122" s="581"/>
      <c r="B122" s="368" t="s">
        <v>410</v>
      </c>
      <c r="C122" s="360"/>
      <c r="D122" s="362"/>
      <c r="E122" s="469">
        <f>IF(ISERROR(VLOOKUP($D75,Spez!$F$4:$F$87,1,0)),VLOOKUP($D75,Maschinenliste!$A$17:$AE$966,6,0)-E119,VLOOKUP($D75,Maschinenliste!$A$17:$AE$966,26,0)-E119)</f>
        <v>33.57428571428571</v>
      </c>
      <c r="F122" s="470"/>
      <c r="G122" s="471">
        <f>IF(ISERROR(VLOOKUP($D75,Spez!$F$5:$F$87,1,0)),VLOOKUP($D75,Maschinenliste!$A$17:$AE$966,6,0)-G119,VLOOKUP($D75,Maschinenliste!$A$17:$AE$966,28,0)-G119)</f>
        <v>33.57428571428571</v>
      </c>
      <c r="H122" s="472"/>
      <c r="I122" s="368" t="s">
        <v>410</v>
      </c>
      <c r="J122" s="360"/>
      <c r="K122" s="362"/>
      <c r="L122" s="469">
        <f>IF(ISERROR(VLOOKUP($L75,Spez!$F$4:$F$87,1,0)),VLOOKUP($L75,Maschinenliste!$A$17:$AE$966,6,0)-L119,VLOOKUP($L75,Maschinenliste!$A$17:$AE$966,26,0)-L119)</f>
        <v>7.819999999999997</v>
      </c>
      <c r="M122" s="470"/>
      <c r="N122" s="471">
        <f>IF(ISERROR(VLOOKUP($L75,Spez!$F$5:$F$87,1,0)),VLOOKUP($L75,Maschinenliste!$A$17:$AE$966,6,0)-N119,VLOOKUP($L75,Maschinenliste!$A$17:$AE$966,28,0)-N119)</f>
        <v>7.819999999999997</v>
      </c>
    </row>
    <row r="123" spans="1:14" ht="12.75" hidden="1">
      <c r="A123" s="581"/>
      <c r="B123" s="368" t="s">
        <v>411</v>
      </c>
      <c r="C123" s="360"/>
      <c r="D123" s="362"/>
      <c r="E123" s="473">
        <f>IF(ISERROR(VLOOKUP($D75,Spez!$F$4:$F$87,1,0)),VLOOKUP($D75,Maschinenliste!$A$17:$AE$966,7,0)-E119,VLOOKUP($D75,Maschinenliste!$A$17:$AE$966,27,0)-E119)</f>
        <v>-0.4257142857142924</v>
      </c>
      <c r="F123" s="470"/>
      <c r="G123" s="471">
        <f>IF(ISERROR(VLOOKUP($D75,Spez!$F$5:$F$87,1,0)),VLOOKUP($D75,Maschinenliste!$A$17:$AE$966,7,0)-G119,VLOOKUP($D75,Maschinenliste!$A$17:$AE$966,29,0)-G119)</f>
        <v>-0.4257142857142924</v>
      </c>
      <c r="H123" s="472"/>
      <c r="I123" s="368" t="s">
        <v>411</v>
      </c>
      <c r="J123" s="360"/>
      <c r="K123" s="362"/>
      <c r="L123" s="473">
        <f>IF(ISERROR(VLOOKUP($L75,Spez!$F$4:$F$87,1,0)),VLOOKUP($L75,Maschinenliste!$A$17:$AE$966,7,0)-L119,VLOOKUP($L75,Maschinenliste!$A$17:$AE$966,27,0)-L119)</f>
        <v>-0.18000000000000327</v>
      </c>
      <c r="M123" s="470"/>
      <c r="N123" s="471">
        <f>IF(ISERROR(VLOOKUP($L75,Spez!$F$5:$F$87,1,0)),VLOOKUP($L75,Maschinenliste!$A$17:$AE$966,7,0)-N119,VLOOKUP($L75,Maschinenliste!$A$17:$AE$966,29,0)-N119)</f>
        <v>-0.18000000000000327</v>
      </c>
    </row>
    <row r="124" spans="1:14" ht="15.75" thickTop="1">
      <c r="A124" s="581"/>
      <c r="B124" s="368"/>
      <c r="C124" s="360"/>
      <c r="D124" s="362"/>
      <c r="E124" s="474"/>
      <c r="F124" s="475">
        <f>IF(F95*F94&gt;F96,"le degré d'utilisation dépasse 100% - veuillez corriger l'utilisation annuelle ou durée d'amortissement!","")</f>
      </c>
      <c r="I124" s="368"/>
      <c r="J124" s="360"/>
      <c r="K124" s="362"/>
      <c r="L124" s="474"/>
      <c r="M124" s="475">
        <f>IF(M95*M94&gt;M96,"le degré d'utilisation dépasse 100% - veuillez corriger l'utilisation annuelle ou durée d'amortissement!","")</f>
      </c>
      <c r="N124" s="363"/>
    </row>
    <row r="125" spans="1:14" ht="15.75">
      <c r="A125" s="581"/>
      <c r="B125" s="476" t="str">
        <f>IF(Hypothèses!$F$11&gt;0,"Les hypothèses générales ont été modifiées - le résultat (valeur par défaut) ne correspond pas à la valeur indicative officielle d’Agroscope.",IF(AND((OR(E122&gt;1,E122&lt;-1)),(OR(E123&gt;1,E123&lt;-1))),"ATTENTION - Vos données ne sont pas correctes","ok"))</f>
        <v>ok</v>
      </c>
      <c r="C125" s="360"/>
      <c r="D125" s="360"/>
      <c r="E125" s="477"/>
      <c r="F125" s="477"/>
      <c r="I125" s="476" t="str">
        <f>IF(Hypothèses!$F$11&gt;0,"Les hypothèses générales ont été modifiées - le résultat (valeur par défaut) ne correspond pas à la valeur indicative officielle d’Agroscope.",IF(AND((OR(L122&gt;1,L122&lt;-1)),(OR(L123&gt;1,L123&lt;-1))),"ATTENTION - Vos données ne sont pas correctes","ok"))</f>
        <v>ok</v>
      </c>
      <c r="J125" s="360"/>
      <c r="L125" s="477"/>
      <c r="M125" s="477"/>
      <c r="N125" s="363"/>
    </row>
    <row r="126" spans="1:13" ht="12.75">
      <c r="A126" s="581"/>
      <c r="B126" s="478">
        <f>IF(Hypothèses!$F$11&gt;0,"",IF(B125="ok","",IF(OR(E122&gt;1,E122&lt;-1),"Veuillez vérifier la puissance en kW ou la valeur résiduelle","ok")))</f>
      </c>
      <c r="C126" s="479"/>
      <c r="D126" s="360"/>
      <c r="E126" s="477"/>
      <c r="F126" s="477"/>
      <c r="G126" s="360"/>
      <c r="I126" s="478">
        <f>IF(Hypothèses!$F$11&gt;0,"",IF(I125="ok","",IF(OR(L122&gt;1,L122&lt;-1),"Veuillez vérifier la puissance en kW  ou la valeur résiduelle","ok")))</f>
      </c>
      <c r="J126" s="479"/>
      <c r="L126" s="477"/>
      <c r="M126" s="477"/>
    </row>
    <row r="127" spans="1:14" ht="12.75">
      <c r="A127" s="581"/>
      <c r="B127" s="360" t="s">
        <v>1453</v>
      </c>
      <c r="C127" s="360"/>
      <c r="D127" s="360"/>
      <c r="E127" s="360"/>
      <c r="F127" s="360"/>
      <c r="G127" s="480">
        <f>(G119/E119)-1</f>
        <v>0</v>
      </c>
      <c r="H127" s="481"/>
      <c r="I127" s="360" t="s">
        <v>1453</v>
      </c>
      <c r="J127" s="360"/>
      <c r="N127" s="480">
        <f>(N119/L119)-1</f>
        <v>0</v>
      </c>
    </row>
    <row r="128" spans="1:7" ht="12.75">
      <c r="A128" s="581"/>
      <c r="B128" s="360"/>
      <c r="C128" s="360"/>
      <c r="D128" s="360"/>
      <c r="E128" s="360"/>
      <c r="F128" s="360"/>
      <c r="G128" s="360"/>
    </row>
    <row r="129" spans="1:7" ht="12.75">
      <c r="A129" s="581"/>
      <c r="B129" s="360"/>
      <c r="C129" s="360"/>
      <c r="D129" s="360"/>
      <c r="E129" s="360"/>
      <c r="F129" s="360"/>
      <c r="G129" s="360"/>
    </row>
    <row r="130" spans="1:7" ht="12.75">
      <c r="A130" s="581"/>
      <c r="B130" s="360"/>
      <c r="C130" s="360"/>
      <c r="D130" s="360"/>
      <c r="E130" s="360"/>
      <c r="F130" s="360"/>
      <c r="G130" s="360"/>
    </row>
    <row r="131" spans="1:7" ht="12.75">
      <c r="A131" s="581"/>
      <c r="B131" s="360"/>
      <c r="C131" s="360"/>
      <c r="D131" s="360"/>
      <c r="E131" s="360"/>
      <c r="F131" s="360"/>
      <c r="G131" s="360"/>
    </row>
    <row r="132" spans="1:12" ht="18">
      <c r="A132" s="581"/>
      <c r="B132" s="367" t="str">
        <f>IF($C$4=1,"",IF($C$4=2,"Calcul machine A2","?"))</f>
        <v>Calcul machine A2</v>
      </c>
      <c r="C132" s="360"/>
      <c r="D132" s="485" t="str">
        <f>IF(LEN(D135)&gt;0,"","Sélectionnez le code de machine")</f>
        <v>Sélectionnez le code de machine</v>
      </c>
      <c r="E132" s="360"/>
      <c r="F132" s="360"/>
      <c r="G132" s="360"/>
      <c r="I132" s="367" t="str">
        <f>IF($C$4=1,"",IF($C$4=2,"Calcul machine B2","?"))</f>
        <v>Calcul machine B2</v>
      </c>
      <c r="L132" s="485" t="str">
        <f>IF(LEN(L135)&gt;0,"","Sélectionnez le code de machine")</f>
        <v>Sélectionnez le code de machine</v>
      </c>
    </row>
    <row r="133" spans="1:9" ht="12.75">
      <c r="A133" s="581"/>
      <c r="B133" s="486" t="e">
        <f>IF(AND(LEN(D135)&gt;0,LEN(D75)&gt;0,C138=C78),"","Erreur! Les machines n'ont pas la même UT.")</f>
        <v>#N/A</v>
      </c>
      <c r="C133" s="360"/>
      <c r="E133" s="360"/>
      <c r="F133" s="360"/>
      <c r="G133" s="360"/>
      <c r="I133" s="486" t="e">
        <f>IF(AND(LEN(L135)&gt;0,LEN(L75)&gt;0,K138=K78),"","Erreur! Les machines n'ont pas la même UT.")</f>
        <v>#N/A</v>
      </c>
    </row>
    <row r="134" spans="1:14" ht="13.5" thickBot="1">
      <c r="A134" s="581"/>
      <c r="B134" s="372" t="s">
        <v>30</v>
      </c>
      <c r="C134" s="373"/>
      <c r="D134" s="374" t="s">
        <v>31</v>
      </c>
      <c r="E134" s="373"/>
      <c r="F134" s="373"/>
      <c r="G134" s="373"/>
      <c r="I134" s="372" t="s">
        <v>30</v>
      </c>
      <c r="J134" s="373"/>
      <c r="K134" s="374" t="s">
        <v>31</v>
      </c>
      <c r="L134" s="373"/>
      <c r="M134" s="373"/>
      <c r="N134" s="373"/>
    </row>
    <row r="135" spans="1:14" ht="15.75">
      <c r="A135" s="581"/>
      <c r="B135" s="490"/>
      <c r="C135" s="379"/>
      <c r="D135" s="487"/>
      <c r="E135" s="380" t="s">
        <v>228</v>
      </c>
      <c r="F135" s="381"/>
      <c r="G135" s="381"/>
      <c r="H135" s="382"/>
      <c r="I135" s="488"/>
      <c r="J135" s="491"/>
      <c r="K135" s="383"/>
      <c r="L135" s="487"/>
      <c r="M135" s="376" t="s">
        <v>330</v>
      </c>
      <c r="N135" s="377"/>
    </row>
    <row r="136" spans="1:14" ht="16.5" thickBot="1">
      <c r="A136" s="581"/>
      <c r="B136" s="384" t="e">
        <f>VLOOKUP(D135,Maschinenliste!$A$17:$AE$966,3,0)</f>
        <v>#N/A</v>
      </c>
      <c r="C136" s="385"/>
      <c r="D136" s="386"/>
      <c r="E136" s="387"/>
      <c r="F136" s="388"/>
      <c r="G136" s="388"/>
      <c r="H136" s="382"/>
      <c r="I136" s="389" t="e">
        <f>VLOOKUP(L135,Maschinenliste!$A$17:$AE$966,3,0)</f>
        <v>#N/A</v>
      </c>
      <c r="J136" s="390"/>
      <c r="K136" s="390"/>
      <c r="L136" s="391"/>
      <c r="M136" s="377"/>
      <c r="N136" s="377"/>
    </row>
    <row r="137" spans="1:14" ht="12.75">
      <c r="A137" s="581"/>
      <c r="B137" s="392">
        <f>IF(ISERROR(VLOOKUP($D135,Spez!$A$4:$A$30,1,0)),"","Stop: la machine sélectionnée ne peut pas être calculée avec ce programme!")</f>
      </c>
      <c r="C137" s="381"/>
      <c r="D137" s="381"/>
      <c r="E137" s="381"/>
      <c r="F137" s="381"/>
      <c r="G137" s="381"/>
      <c r="H137" s="382"/>
      <c r="I137" s="392">
        <f>IF(ISERROR(VLOOKUP($L135,Spez!$A$4:$A$30,1,0)),"","Stop: la machine sélectionnée ne peut pas être calculée avec ce programme!")</f>
      </c>
      <c r="J137" s="376"/>
      <c r="K137" s="377"/>
      <c r="L137" s="377"/>
      <c r="M137" s="377"/>
      <c r="N137" s="377"/>
    </row>
    <row r="138" spans="1:14" ht="12.75">
      <c r="A138" s="581"/>
      <c r="B138" s="393" t="s">
        <v>898</v>
      </c>
      <c r="C138" s="394" t="e">
        <f>VLOOKUP($D135,Maschinenliste!$A$17:$AE$966,30,0)</f>
        <v>#N/A</v>
      </c>
      <c r="D138" s="393" t="e">
        <f>VLOOKUP(E145,$R$5:$S$8,2,0)</f>
        <v>#N/A</v>
      </c>
      <c r="E138" s="395" t="e">
        <f>IF(E145=3,$T$8,"")</f>
        <v>#N/A</v>
      </c>
      <c r="F138" s="377"/>
      <c r="G138" s="373"/>
      <c r="I138" s="376"/>
      <c r="J138" s="393" t="s">
        <v>898</v>
      </c>
      <c r="K138" s="397" t="e">
        <f>VLOOKUP($L135,Maschinenliste!$A$17:$AE$966,30,0)</f>
        <v>#N/A</v>
      </c>
      <c r="L138" s="396" t="e">
        <f>VLOOKUP(M145,$R$5:$S$8,2,0)</f>
        <v>#N/A</v>
      </c>
      <c r="M138" s="398" t="e">
        <f>IF(M145=3,$T$8,"")</f>
        <v>#N/A</v>
      </c>
      <c r="N138" s="377"/>
    </row>
    <row r="139" spans="1:14" ht="12.75" hidden="1">
      <c r="A139" s="581"/>
      <c r="B139" s="373"/>
      <c r="C139" s="399">
        <f>IF(ISERROR(VLOOKUP($D135,Spez!$D$4:$D$46,1,0)),"","Bitte geben Sie manuell die Leistung in kW ein")</f>
      </c>
      <c r="D139" s="298">
        <v>5</v>
      </c>
      <c r="E139" s="400">
        <f>IF(ISERROR(VLOOKUP($D135,Spez!$D$4:$D$45,1,0)),"","siehe Masch.bezeichnung")</f>
      </c>
      <c r="F139" s="381"/>
      <c r="G139" s="373"/>
      <c r="I139" s="376"/>
      <c r="J139" s="377"/>
      <c r="K139" s="401">
        <f>IF(ISERROR(VLOOKUP($L135,Spez!$D$4:$D$46,1,0)),"","Bitte geben Sie manuell die Leistung in kW ein")</f>
      </c>
      <c r="L139" s="273"/>
      <c r="M139" s="402">
        <f>IF(ISERROR(VLOOKUP($L135,Spez!$D$4:$D$45,1,0)),"","siehe Masch.bezeichnung")</f>
      </c>
      <c r="N139" s="377"/>
    </row>
    <row r="140" spans="1:14" ht="12.75" hidden="1">
      <c r="A140" s="581"/>
      <c r="B140" s="403"/>
      <c r="C140" s="373"/>
      <c r="D140" s="373"/>
      <c r="E140" s="380"/>
      <c r="F140" s="381"/>
      <c r="G140" s="373"/>
      <c r="I140" s="376"/>
      <c r="J140" s="404"/>
      <c r="K140" s="377"/>
      <c r="L140" s="377"/>
      <c r="M140" s="375"/>
      <c r="N140" s="377"/>
    </row>
    <row r="141" spans="1:14" ht="12.75">
      <c r="A141" s="581"/>
      <c r="B141" s="373"/>
      <c r="C141" s="393" t="s">
        <v>1451</v>
      </c>
      <c r="D141" s="405" t="e">
        <f>IF(ISERROR(VLOOKUP($D135,Spez!$D$48:$D$54,1,0)),IF(C138="heures (h)","",IF(ISERROR(VLOOKUP($D135,Spez!$N$4:$N$27,1,0)),VLOOKUP($D135,Maschinenliste!$A$17:$Y$966,4,0)/E147,VLOOKUP($D135,Maschinenliste!$A$17:$Y$966,4,0))),VLOOKUP($D135,Maschinenliste!$A$17:$Y$966,4,0))</f>
        <v>#N/A</v>
      </c>
      <c r="E141" s="406" t="e">
        <f>IF(ISERROR(VLOOKUP($D135,Spez!$O$4:$O$56,1,0)),IF(C138="hectares","ares",IF(C138="heures (h)","",C138)),"charretées")</f>
        <v>#N/A</v>
      </c>
      <c r="F141" s="407" t="e">
        <f>IF(D145=0,"par heure","")</f>
        <v>#N/A</v>
      </c>
      <c r="G141" s="373"/>
      <c r="I141" s="376"/>
      <c r="J141" s="375"/>
      <c r="K141" s="393" t="s">
        <v>1451</v>
      </c>
      <c r="L141" s="405" t="e">
        <f>IF(ISERROR(VLOOKUP($L135,Spez!$D$48:$D$54,1,0)),IF(K138="heures (h)","",IF(ISERROR(VLOOKUP($L135,Spez!$N$4:$N$27,1,0)),VLOOKUP($L135,Maschinenliste!$A$17:$Y$966,4,0)/L147,VLOOKUP($L135,Maschinenliste!$A$17:$Y$966,4,0))),VLOOKUP($L135,Maschinenliste!$A$17:$Y$966,4,0))</f>
        <v>#N/A</v>
      </c>
      <c r="M141" s="406" t="e">
        <f>IF(ISERROR(VLOOKUP($L135,Spez!$O$4:$O$56,1,0)),IF(K138="hectares","ares",IF(K138="heures (h)","",K138)),"charretées")</f>
        <v>#N/A</v>
      </c>
      <c r="N141" s="407" t="e">
        <f>IF(L145=0,"par heure","")</f>
        <v>#N/A</v>
      </c>
    </row>
    <row r="142" spans="1:14" ht="12.75">
      <c r="A142" s="581"/>
      <c r="B142" s="362"/>
      <c r="C142" s="408"/>
      <c r="D142" s="409"/>
      <c r="E142" s="410"/>
      <c r="F142" s="411"/>
      <c r="G142" s="362"/>
      <c r="H142" s="382"/>
      <c r="K142" s="408"/>
      <c r="L142" s="409"/>
      <c r="M142" s="410"/>
      <c r="N142" s="411"/>
    </row>
    <row r="143" spans="1:13" ht="12.75">
      <c r="A143" s="581"/>
      <c r="B143" s="360"/>
      <c r="C143" s="412" t="s">
        <v>229</v>
      </c>
      <c r="D143" s="413" t="e">
        <f>VLOOKUP($D135,Maschinenliste!$A$17:$AE$966,4,0)</f>
        <v>#N/A</v>
      </c>
      <c r="E143" s="414" t="e">
        <f>IF(VLOOKUP($D135,Spez!$G$4:$G$15,1,0),"Umrechnung",0)</f>
        <v>#N/A</v>
      </c>
      <c r="F143" s="360"/>
      <c r="G143" s="360"/>
      <c r="J143" s="360"/>
      <c r="K143" s="412" t="s">
        <v>229</v>
      </c>
      <c r="L143" s="413" t="e">
        <f>VLOOKUP($L135,Maschinenliste!$A$17:$AE$966,4,0)</f>
        <v>#N/A</v>
      </c>
      <c r="M143" s="414" t="e">
        <f>IF(VLOOKUP($L135,Spez!$G$4:$G$15,1,0),"Umrechnung",0)</f>
        <v>#N/A</v>
      </c>
    </row>
    <row r="144" spans="1:13" ht="12.75">
      <c r="A144" s="581"/>
      <c r="B144" s="360"/>
      <c r="C144" s="412" t="s">
        <v>452</v>
      </c>
      <c r="D144" s="415" t="e">
        <f>IF(ISERROR(VLOOKUP($D135,Spez!$D$4:$D$46,1,0)),D143*E147,D139)</f>
        <v>#N/A</v>
      </c>
      <c r="E144" s="416" t="s">
        <v>419</v>
      </c>
      <c r="F144" s="360"/>
      <c r="G144" s="360"/>
      <c r="J144" s="360"/>
      <c r="K144" s="412" t="s">
        <v>452</v>
      </c>
      <c r="L144" s="415" t="e">
        <f>IF(ISERROR(VLOOKUP($L135,Spez!$D$4:$D$46,1,0)),L143*L147,L139)</f>
        <v>#N/A</v>
      </c>
      <c r="M144" s="416" t="s">
        <v>419</v>
      </c>
    </row>
    <row r="145" spans="1:13" ht="12.75">
      <c r="A145" s="581"/>
      <c r="B145" s="360"/>
      <c r="C145" s="368"/>
      <c r="D145" s="417" t="e">
        <f>IF(ISERROR(VLOOKUP($D135,Spez!$D$48:$D$60,1,0)),IF(C138="heures (h)",1,0),0)</f>
        <v>#N/A</v>
      </c>
      <c r="E145" s="289" t="e">
        <f>VLOOKUP(D135,Maschinenliste!$A$17:$AE$966,31,0)</f>
        <v>#N/A</v>
      </c>
      <c r="G145" s="360"/>
      <c r="J145" s="360"/>
      <c r="K145" s="368"/>
      <c r="L145" s="417" t="e">
        <f>IF(ISERROR(VLOOKUP($L135,Spez!$D$48:$D$60,1,0)),IF(K138="heures (h)",1,0),0)</f>
        <v>#N/A</v>
      </c>
      <c r="M145" s="289" t="e">
        <f>VLOOKUP(L135,Maschinenliste!$A$17:$AE$966,31,0)</f>
        <v>#N/A</v>
      </c>
    </row>
    <row r="146" spans="1:7" ht="13.5" thickBot="1">
      <c r="A146" s="581"/>
      <c r="B146" s="360"/>
      <c r="C146" s="360"/>
      <c r="D146" s="418"/>
      <c r="E146" s="360"/>
      <c r="F146" s="360"/>
      <c r="G146" s="360"/>
    </row>
    <row r="147" spans="1:14" ht="16.5" thickBot="1">
      <c r="A147" s="581"/>
      <c r="B147" s="360"/>
      <c r="C147" s="360"/>
      <c r="D147" s="362"/>
      <c r="E147" s="419">
        <f>IF(ISERROR(VLOOKUP($D135,Spez!$O$4:$O$45,1,0)),1,VLOOKUP($D135,Maschinenliste!$A$17:$AE$966,28,0))</f>
        <v>1</v>
      </c>
      <c r="F147" s="420" t="s">
        <v>32</v>
      </c>
      <c r="G147" s="421"/>
      <c r="H147" s="382"/>
      <c r="L147" s="419">
        <f>IF(ISERROR(VLOOKUP($L135,Spez!$O$4:$O$45,1,0)),1,VLOOKUP($L135,Maschinenliste!$A$17:$AE$966,28,0))</f>
        <v>1</v>
      </c>
      <c r="M147" s="420" t="s">
        <v>32</v>
      </c>
      <c r="N147" s="422"/>
    </row>
    <row r="148" spans="1:14" ht="13.5" thickBot="1">
      <c r="A148" s="581"/>
      <c r="B148" s="360"/>
      <c r="C148" s="360"/>
      <c r="D148" s="362"/>
      <c r="E148" s="362"/>
      <c r="F148" s="744" t="e">
        <f>IF(G187=0,"","données ont été modifiées")</f>
        <v>#N/A</v>
      </c>
      <c r="G148" s="362"/>
      <c r="H148" s="382"/>
      <c r="K148" s="362"/>
      <c r="L148" s="362"/>
      <c r="M148" s="744" t="e">
        <f>IF(N187=0,"","données ont été modifiées")</f>
        <v>#N/A</v>
      </c>
      <c r="N148" s="362"/>
    </row>
    <row r="149" spans="1:14" ht="12.75" hidden="1">
      <c r="A149" s="581"/>
      <c r="B149" s="360"/>
      <c r="C149" s="360"/>
      <c r="D149" s="362" t="s">
        <v>387</v>
      </c>
      <c r="E149" s="423" t="e">
        <f>IF(E145=1,"Eingabe","")</f>
        <v>#N/A</v>
      </c>
      <c r="F149" s="299">
        <v>1.79</v>
      </c>
      <c r="G149" s="424" t="s">
        <v>431</v>
      </c>
      <c r="H149" s="382"/>
      <c r="I149" s="360"/>
      <c r="J149" s="360"/>
      <c r="L149" s="362" t="s">
        <v>387</v>
      </c>
      <c r="M149" s="301">
        <f>F149</f>
        <v>1.79</v>
      </c>
      <c r="N149" s="424" t="s">
        <v>431</v>
      </c>
    </row>
    <row r="150" spans="1:14" ht="13.5" hidden="1" thickBot="1">
      <c r="A150" s="581"/>
      <c r="B150" s="360"/>
      <c r="C150" s="360"/>
      <c r="D150" s="362" t="s">
        <v>429</v>
      </c>
      <c r="E150" s="423" t="e">
        <f>IF(E145=2,"Eingabe","")</f>
        <v>#N/A</v>
      </c>
      <c r="F150" s="354">
        <v>1.6</v>
      </c>
      <c r="G150" s="425" t="s">
        <v>431</v>
      </c>
      <c r="H150" s="382"/>
      <c r="I150" s="360"/>
      <c r="J150" s="360"/>
      <c r="L150" s="362" t="s">
        <v>429</v>
      </c>
      <c r="M150" s="355">
        <f>F150</f>
        <v>1.6</v>
      </c>
      <c r="N150" s="425" t="s">
        <v>431</v>
      </c>
    </row>
    <row r="151" spans="1:14" ht="12.75">
      <c r="A151" s="581"/>
      <c r="B151" s="426" t="s">
        <v>36</v>
      </c>
      <c r="C151" s="427" t="s">
        <v>37</v>
      </c>
      <c r="D151" s="428" t="s">
        <v>1452</v>
      </c>
      <c r="E151" s="429"/>
      <c r="F151" s="484"/>
      <c r="G151" s="424"/>
      <c r="H151" s="382"/>
      <c r="I151" s="426" t="s">
        <v>36</v>
      </c>
      <c r="J151" s="427" t="s">
        <v>37</v>
      </c>
      <c r="K151" s="428" t="s">
        <v>1452</v>
      </c>
      <c r="L151" s="429"/>
      <c r="M151" s="484"/>
      <c r="N151" s="424"/>
    </row>
    <row r="152" spans="1:14" ht="12.75">
      <c r="A152" s="581"/>
      <c r="B152" s="360" t="s">
        <v>38</v>
      </c>
      <c r="C152" s="360" t="s">
        <v>173</v>
      </c>
      <c r="D152" s="431" t="e">
        <f>VLOOKUP($D135,Maschinenliste!$A$17:$AE$966,5,0)</f>
        <v>#N/A</v>
      </c>
      <c r="E152" s="362"/>
      <c r="F152" s="275" t="e">
        <f>D152</f>
        <v>#N/A</v>
      </c>
      <c r="G152" s="425"/>
      <c r="H152" s="382"/>
      <c r="I152" s="360" t="s">
        <v>38</v>
      </c>
      <c r="J152" s="360" t="s">
        <v>173</v>
      </c>
      <c r="K152" s="431" t="e">
        <f>VLOOKUP($L135,Maschinenliste!$A$17:$AE$966,5,0)</f>
        <v>#N/A</v>
      </c>
      <c r="L152" s="362"/>
      <c r="M152" s="275" t="e">
        <f>K152</f>
        <v>#N/A</v>
      </c>
      <c r="N152" s="425"/>
    </row>
    <row r="153" spans="1:14" ht="12.75">
      <c r="A153" s="581"/>
      <c r="B153" s="360" t="s">
        <v>39</v>
      </c>
      <c r="C153" s="360"/>
      <c r="D153" s="431"/>
      <c r="E153" s="362"/>
      <c r="F153" s="283" t="s">
        <v>66</v>
      </c>
      <c r="G153" s="425"/>
      <c r="H153" s="382"/>
      <c r="I153" s="360" t="s">
        <v>39</v>
      </c>
      <c r="J153" s="360"/>
      <c r="K153" s="431"/>
      <c r="L153" s="362"/>
      <c r="M153" s="283" t="s">
        <v>66</v>
      </c>
      <c r="N153" s="425"/>
    </row>
    <row r="154" spans="1:14" ht="12.75">
      <c r="A154" s="581"/>
      <c r="B154" s="360" t="s">
        <v>40</v>
      </c>
      <c r="C154" s="360" t="s">
        <v>82</v>
      </c>
      <c r="D154" s="431" t="e">
        <f>VLOOKUP($D135,Maschinenliste!$A$17:$AE$966,10,0)</f>
        <v>#N/A</v>
      </c>
      <c r="E154" s="411" t="e">
        <f>$C138</f>
        <v>#N/A</v>
      </c>
      <c r="F154" s="276" t="e">
        <f>D154</f>
        <v>#N/A</v>
      </c>
      <c r="G154" s="425" t="e">
        <f>E154</f>
        <v>#N/A</v>
      </c>
      <c r="H154" s="382"/>
      <c r="I154" s="360" t="s">
        <v>40</v>
      </c>
      <c r="J154" s="360" t="s">
        <v>82</v>
      </c>
      <c r="K154" s="431" t="e">
        <f>VLOOKUP($L135,Maschinenliste!$A$17:$AE$966,10,0)</f>
        <v>#N/A</v>
      </c>
      <c r="L154" s="411" t="e">
        <f>$K138</f>
        <v>#N/A</v>
      </c>
      <c r="M154" s="276" t="e">
        <f>K154</f>
        <v>#N/A</v>
      </c>
      <c r="N154" s="425" t="e">
        <f>L154</f>
        <v>#N/A</v>
      </c>
    </row>
    <row r="155" spans="1:14" ht="12.75">
      <c r="A155" s="581"/>
      <c r="B155" s="360" t="s">
        <v>41</v>
      </c>
      <c r="C155" s="360" t="s">
        <v>42</v>
      </c>
      <c r="D155" s="431" t="e">
        <f>VLOOKUP($D135,Maschinenliste!$A$17:$AE$966,12,0)</f>
        <v>#N/A</v>
      </c>
      <c r="E155" s="362"/>
      <c r="F155" s="276" t="e">
        <f>D155</f>
        <v>#N/A</v>
      </c>
      <c r="G155" s="425"/>
      <c r="H155" s="382"/>
      <c r="I155" s="360" t="s">
        <v>41</v>
      </c>
      <c r="J155" s="360" t="s">
        <v>42</v>
      </c>
      <c r="K155" s="431" t="e">
        <f>VLOOKUP($L135,Maschinenliste!$A$17:$AE$966,12,0)</f>
        <v>#N/A</v>
      </c>
      <c r="L155" s="362"/>
      <c r="M155" s="276" t="e">
        <f>K155</f>
        <v>#N/A</v>
      </c>
      <c r="N155" s="425"/>
    </row>
    <row r="156" spans="1:14" ht="12.75">
      <c r="A156" s="581"/>
      <c r="B156" s="360" t="s">
        <v>43</v>
      </c>
      <c r="C156" s="360" t="s">
        <v>82</v>
      </c>
      <c r="D156" s="431" t="e">
        <f>VLOOKUP($D135,Maschinenliste!$A$17:$AE$966,13,0)</f>
        <v>#N/A</v>
      </c>
      <c r="E156" s="411" t="e">
        <f>C138</f>
        <v>#N/A</v>
      </c>
      <c r="F156" s="276" t="e">
        <f>D156</f>
        <v>#N/A</v>
      </c>
      <c r="G156" s="425" t="e">
        <f>E156</f>
        <v>#N/A</v>
      </c>
      <c r="H156" s="382"/>
      <c r="I156" s="360" t="s">
        <v>43</v>
      </c>
      <c r="J156" s="360" t="s">
        <v>82</v>
      </c>
      <c r="K156" s="431" t="e">
        <f>VLOOKUP($L135,Maschinenliste!$A$17:$AE$966,13,0)</f>
        <v>#N/A</v>
      </c>
      <c r="L156" s="411" t="e">
        <f>K138</f>
        <v>#N/A</v>
      </c>
      <c r="M156" s="276" t="e">
        <f>K156</f>
        <v>#N/A</v>
      </c>
      <c r="N156" s="425" t="e">
        <f>L156</f>
        <v>#N/A</v>
      </c>
    </row>
    <row r="157" spans="1:14" ht="12.75">
      <c r="A157" s="581"/>
      <c r="B157" s="360" t="s">
        <v>44</v>
      </c>
      <c r="C157" s="360" t="s">
        <v>175</v>
      </c>
      <c r="D157" s="432" t="e">
        <f>D154*D155/D156</f>
        <v>#N/A</v>
      </c>
      <c r="E157" s="433"/>
      <c r="F157" s="434" t="e">
        <f>IF(LEN(F159)&gt;0,"",F154*F155/F156)</f>
        <v>#N/A</v>
      </c>
      <c r="G157" s="425"/>
      <c r="H157" s="382"/>
      <c r="I157" s="360" t="s">
        <v>44</v>
      </c>
      <c r="J157" s="360" t="s">
        <v>175</v>
      </c>
      <c r="K157" s="432" t="e">
        <f>K154*K155/K156</f>
        <v>#N/A</v>
      </c>
      <c r="L157" s="433"/>
      <c r="M157" s="434" t="e">
        <f>IF(LEN(M159)&gt;0,"",M154*M155/M156)</f>
        <v>#N/A</v>
      </c>
      <c r="N157" s="425"/>
    </row>
    <row r="158" spans="1:14" ht="12.75">
      <c r="A158" s="581"/>
      <c r="B158" s="360" t="s">
        <v>23</v>
      </c>
      <c r="C158" s="360" t="s">
        <v>45</v>
      </c>
      <c r="D158" s="431" t="e">
        <f>VLOOKUP($D135,Maschinenliste!$A$17:$AE$966,14,0)</f>
        <v>#N/A</v>
      </c>
      <c r="E158" s="433"/>
      <c r="F158" s="435" t="e">
        <f>IF(LEN(F159)&gt;0,"",IF(F157&gt;0,IF(F157&lt;Hypothèses!$C$80,Hypothèses!$B$80,IF(AND(F157&gt;=Hypothèses!$C$80,F157&lt;Hypothèses!$C$79),Hypothèses!$B$79,IF(AND(F157&gt;=Hypothèses!$C$79,F157&lt;Hypothèses!$C$78),Hypothèses!$B$78,IF(AND(F157&gt;=Hypothèses!$C$78,F157&lt;Hypothèses!$C$77),Hypothèses!$B$77,IF(AND(F157&gt;=Hypothèses!$C$77,F157&lt;Hypothèses!$C$76),Hypothèses!$B$76,0))))),""))</f>
        <v>#N/A</v>
      </c>
      <c r="G158" s="425"/>
      <c r="H158" s="382"/>
      <c r="I158" s="360" t="s">
        <v>23</v>
      </c>
      <c r="J158" s="360" t="s">
        <v>45</v>
      </c>
      <c r="K158" s="431" t="e">
        <f>VLOOKUP($L135,Maschinenliste!$A$17:$AE$966,14,0)</f>
        <v>#N/A</v>
      </c>
      <c r="L158" s="433"/>
      <c r="M158" s="435" t="e">
        <f>IF(LEN(M159)&gt;0,"",IF(M157&gt;0,IF(M157&lt;Hypothèses!$C$80,Hypothèses!$B$80,IF(AND(M157&gt;=Hypothèses!$C$80,M157&lt;Hypothèses!$C$79),Hypothèses!$B$79,IF(AND(M157&gt;=Hypothèses!$C$79,M157&lt;Hypothèses!$C$78),Hypothèses!$B$78,IF(AND(M157&gt;=Hypothèses!$C$78,M157&lt;Hypothèses!$C$77),Hypothèses!$B$77,IF(AND(M157&gt;=Hypothèses!$C$77,M157&lt;Hypothèses!$C$76),Hypothèses!$B$76,0))))),""))</f>
        <v>#N/A</v>
      </c>
      <c r="N158" s="425"/>
    </row>
    <row r="159" spans="1:14" ht="14.25">
      <c r="A159" s="581"/>
      <c r="B159" s="360" t="s">
        <v>46</v>
      </c>
      <c r="C159" s="360" t="s">
        <v>173</v>
      </c>
      <c r="D159" s="436"/>
      <c r="E159" s="437"/>
      <c r="F159" s="276"/>
      <c r="G159" s="425"/>
      <c r="H159" s="382"/>
      <c r="I159" s="360" t="s">
        <v>46</v>
      </c>
      <c r="J159" s="360" t="s">
        <v>173</v>
      </c>
      <c r="K159" s="436"/>
      <c r="L159" s="437"/>
      <c r="M159" s="276"/>
      <c r="N159" s="425"/>
    </row>
    <row r="160" spans="1:14" ht="12.75">
      <c r="A160" s="581"/>
      <c r="B160" s="360" t="s">
        <v>47</v>
      </c>
      <c r="C160" s="360" t="s">
        <v>175</v>
      </c>
      <c r="D160" s="431" t="e">
        <f>VLOOKUP($D135,Maschinenliste!$A$17:$AE$966,11,0)</f>
        <v>#N/A</v>
      </c>
      <c r="E160" s="362"/>
      <c r="F160" s="276" t="e">
        <f>D160</f>
        <v>#N/A</v>
      </c>
      <c r="G160" s="438" t="e">
        <f>IF(LEN(D160)&gt;1,$D144*F160*Hypothèses!$C$25,"")</f>
        <v>#N/A</v>
      </c>
      <c r="H160" s="439"/>
      <c r="I160" s="360" t="s">
        <v>47</v>
      </c>
      <c r="J160" s="360" t="s">
        <v>175</v>
      </c>
      <c r="K160" s="431" t="e">
        <f>VLOOKUP($L135,Maschinenliste!$A$17:$AE$966,11,0)</f>
        <v>#N/A</v>
      </c>
      <c r="L160" s="362"/>
      <c r="M160" s="276" t="e">
        <f>K160</f>
        <v>#N/A</v>
      </c>
      <c r="N160" s="438" t="e">
        <f>IF(LEN(K160)&gt;1,$L144*M160*Hypothèses!$C$25,"")</f>
        <v>#N/A</v>
      </c>
    </row>
    <row r="161" spans="1:14" ht="12.75">
      <c r="A161" s="581"/>
      <c r="B161" s="360" t="s">
        <v>1306</v>
      </c>
      <c r="C161" s="360" t="s">
        <v>45</v>
      </c>
      <c r="D161" s="431" t="e">
        <f>VLOOKUP($D135,Maschinenliste!$A$17:$AE$966,15,0)</f>
        <v>#N/A</v>
      </c>
      <c r="E161" s="362"/>
      <c r="F161" s="276" t="e">
        <f>D161</f>
        <v>#N/A</v>
      </c>
      <c r="G161" s="754" t="e">
        <f>(F154*G173)</f>
        <v>#N/A</v>
      </c>
      <c r="H161" s="382"/>
      <c r="I161" s="360" t="s">
        <v>1306</v>
      </c>
      <c r="J161" s="360" t="s">
        <v>45</v>
      </c>
      <c r="K161" s="431" t="e">
        <f>VLOOKUP($L135,Maschinenliste!$A$17:$AE$966,15,0)</f>
        <v>#N/A</v>
      </c>
      <c r="L161" s="362"/>
      <c r="M161" s="276" t="e">
        <f>K161</f>
        <v>#N/A</v>
      </c>
      <c r="N161" s="754" t="e">
        <f>(M154*N173)</f>
        <v>#N/A</v>
      </c>
    </row>
    <row r="162" spans="1:14" ht="12.75">
      <c r="A162" s="581"/>
      <c r="B162" s="360" t="s">
        <v>49</v>
      </c>
      <c r="C162" s="360" t="s">
        <v>176</v>
      </c>
      <c r="D162" s="431" t="e">
        <f>VLOOKUP($D135,Maschinenliste!$A$17:$AE$966,16,0)</f>
        <v>#N/A</v>
      </c>
      <c r="E162" s="362"/>
      <c r="F162" s="276" t="e">
        <f>D162</f>
        <v>#N/A</v>
      </c>
      <c r="G162" s="425"/>
      <c r="H162" s="382"/>
      <c r="I162" s="360" t="s">
        <v>49</v>
      </c>
      <c r="J162" s="360" t="s">
        <v>176</v>
      </c>
      <c r="K162" s="431" t="e">
        <f>VLOOKUP($L135,Maschinenliste!$A$17:$AE$966,16,0)</f>
        <v>#N/A</v>
      </c>
      <c r="L162" s="362"/>
      <c r="M162" s="276" t="e">
        <f>K162</f>
        <v>#N/A</v>
      </c>
      <c r="N162" s="425"/>
    </row>
    <row r="163" spans="1:14" ht="12.75">
      <c r="A163" s="581"/>
      <c r="B163" s="360" t="s">
        <v>52</v>
      </c>
      <c r="C163" s="360" t="s">
        <v>175</v>
      </c>
      <c r="D163" s="432">
        <v>0.1</v>
      </c>
      <c r="E163" s="362"/>
      <c r="F163" s="277">
        <f>D163</f>
        <v>0.1</v>
      </c>
      <c r="G163" s="425"/>
      <c r="H163" s="382"/>
      <c r="I163" s="360" t="s">
        <v>52</v>
      </c>
      <c r="J163" s="360" t="s">
        <v>175</v>
      </c>
      <c r="K163" s="432">
        <v>0.1</v>
      </c>
      <c r="L163" s="362"/>
      <c r="M163" s="277">
        <f>K163</f>
        <v>0.1</v>
      </c>
      <c r="N163" s="425"/>
    </row>
    <row r="164" spans="1:14" ht="12.75">
      <c r="A164" s="581"/>
      <c r="B164" s="360" t="s">
        <v>53</v>
      </c>
      <c r="C164" s="360"/>
      <c r="D164" s="432">
        <v>0</v>
      </c>
      <c r="E164" s="362"/>
      <c r="F164" s="277">
        <f>D164</f>
        <v>0</v>
      </c>
      <c r="G164" s="425"/>
      <c r="H164" s="382"/>
      <c r="I164" s="360" t="s">
        <v>53</v>
      </c>
      <c r="J164" s="360"/>
      <c r="K164" s="432">
        <v>0</v>
      </c>
      <c r="L164" s="362"/>
      <c r="M164" s="277">
        <f>K164</f>
        <v>0</v>
      </c>
      <c r="N164" s="425"/>
    </row>
    <row r="165" spans="1:14" ht="12.75">
      <c r="A165" s="581"/>
      <c r="B165" s="360"/>
      <c r="C165" s="360"/>
      <c r="D165" s="430"/>
      <c r="E165" s="362"/>
      <c r="F165" s="430"/>
      <c r="G165" s="441"/>
      <c r="H165" s="382"/>
      <c r="I165" s="360"/>
      <c r="J165" s="360"/>
      <c r="K165" s="430"/>
      <c r="L165" s="362"/>
      <c r="M165" s="430"/>
      <c r="N165" s="441"/>
    </row>
    <row r="166" spans="1:14" ht="12.75">
      <c r="A166" s="581"/>
      <c r="B166" s="427" t="s">
        <v>54</v>
      </c>
      <c r="C166" s="442"/>
      <c r="D166" s="443" t="s">
        <v>67</v>
      </c>
      <c r="E166" s="444" t="s">
        <v>68</v>
      </c>
      <c r="F166" s="443" t="s">
        <v>67</v>
      </c>
      <c r="G166" s="445" t="s">
        <v>69</v>
      </c>
      <c r="H166" s="382"/>
      <c r="I166" s="427" t="s">
        <v>54</v>
      </c>
      <c r="J166" s="442"/>
      <c r="K166" s="443" t="s">
        <v>67</v>
      </c>
      <c r="L166" s="444" t="s">
        <v>68</v>
      </c>
      <c r="M166" s="443" t="s">
        <v>67</v>
      </c>
      <c r="N166" s="445" t="s">
        <v>69</v>
      </c>
    </row>
    <row r="167" spans="1:14" ht="12.75">
      <c r="A167" s="581"/>
      <c r="B167" s="360" t="s">
        <v>55</v>
      </c>
      <c r="C167" s="360"/>
      <c r="D167" s="446" t="e">
        <f>(D152-(D152*D158))/D155</f>
        <v>#N/A</v>
      </c>
      <c r="E167" s="362"/>
      <c r="F167" s="446" t="e">
        <f>IF(LEN(F159)&gt;0,(F152-F159)/F155,(F152-(F152*F158))/F155)</f>
        <v>#N/A</v>
      </c>
      <c r="G167" s="425"/>
      <c r="H167" s="382"/>
      <c r="I167" s="360" t="s">
        <v>55</v>
      </c>
      <c r="J167" s="360"/>
      <c r="K167" s="446" t="e">
        <f>(K152-(K152*K158))/K155</f>
        <v>#N/A</v>
      </c>
      <c r="L167" s="362"/>
      <c r="M167" s="446" t="e">
        <f>IF(LEN(M159)&gt;0,(M152-M159)/M155,(M152-(M152*M158))/M155)</f>
        <v>#N/A</v>
      </c>
      <c r="N167" s="425"/>
    </row>
    <row r="168" spans="1:14" ht="12.75">
      <c r="A168" s="581"/>
      <c r="B168" s="360" t="s">
        <v>56</v>
      </c>
      <c r="C168" s="360"/>
      <c r="D168" s="446" t="e">
        <f>(D152-(D158*D152))*Hypothèses!$C$13/100*0.6+(D158*D152*Hypothèses!$C$13/100)</f>
        <v>#N/A</v>
      </c>
      <c r="E168" s="362"/>
      <c r="F168" s="446" t="e">
        <f>IF(LEN(F159)&gt;0,(F152-F159)*Hypothèses!$C$13/100*0.6+(F159*Hypothèses!$C$13/100),(F152-(F158*F152))*Hypothèses!$C$13/100*0.6+(F158*F152*Hypothèses!$C$13/100))</f>
        <v>#N/A</v>
      </c>
      <c r="G168" s="425"/>
      <c r="H168" s="382"/>
      <c r="I168" s="360" t="s">
        <v>56</v>
      </c>
      <c r="J168" s="360"/>
      <c r="K168" s="446" t="e">
        <f>(K152-(K158*K152))*Hypothèses!$C$13/100*0.6+(K158*K152*Hypothèses!$C$13/100)</f>
        <v>#N/A</v>
      </c>
      <c r="L168" s="362"/>
      <c r="M168" s="446" t="e">
        <f>IF(LEN(M159)&gt;0,(M152-M159)*Hypothèses!$C$13/100*0.6+(M159*Hypothèses!$C$13/100),(M152-(M158*M152))*Hypothèses!$C$13/100*0.6+(M158*M152*Hypothèses!$C$13/100))</f>
        <v>#N/A</v>
      </c>
      <c r="N168" s="425"/>
    </row>
    <row r="169" spans="1:14" ht="12.75">
      <c r="A169" s="581"/>
      <c r="B169" s="360" t="s">
        <v>57</v>
      </c>
      <c r="C169" s="360"/>
      <c r="D169" s="446" t="e">
        <f>IF(ISERROR(VLOOKUP($D135,Spez!$K$4:$K$36,1,0)),IF((VLOOKUP($D135,Maschinenliste!$A$17:$AE$966,31,0)&gt;0),D162*Hypothèses!$C$17,D162*Hypothèses!$C$18),D162*Hypothèses!$C$18)</f>
        <v>#N/A</v>
      </c>
      <c r="E169" s="362"/>
      <c r="F169" s="446" t="e">
        <f>IF(ISERROR(VLOOKUP($D135,Spez!$K$4:$K$36,1,0)),IF((VLOOKUP($D135,Maschinenliste!$A$17:$AE$966,31,0)&gt;0),F162*Hypothèses!$C$17,F162*Hypothèses!$C$18),F162*Hypothèses!$C$18)</f>
        <v>#N/A</v>
      </c>
      <c r="G169" s="425"/>
      <c r="H169" s="382"/>
      <c r="I169" s="360" t="s">
        <v>57</v>
      </c>
      <c r="J169" s="360"/>
      <c r="K169" s="446" t="e">
        <f>IF(ISERROR(VLOOKUP($L135,Spez!$K$4:$K$36,1,0)),IF((VLOOKUP($L135,Maschinenliste!$A$17:$AE$966,31,0)&gt;0),K162*Hypothèses!$C$17,K162*Hypothèses!$C$18),K162*Hypothèses!$C$18)</f>
        <v>#N/A</v>
      </c>
      <c r="L169" s="362"/>
      <c r="M169" s="446" t="e">
        <f>IF(ISERROR(VLOOKUP($L135,Spez!$K$4:$K$36,1,0)),IF((VLOOKUP($L135,Maschinenliste!$A$17:$AE$966,31,0)&gt;0),M162*Hypothèses!$C$17,M162*Hypothèses!$C$18),M162*Hypothèses!$C$18)</f>
        <v>#N/A</v>
      </c>
      <c r="N169" s="425"/>
    </row>
    <row r="170" spans="1:14" ht="12.75">
      <c r="A170" s="581"/>
      <c r="B170" s="447" t="s">
        <v>58</v>
      </c>
      <c r="C170" s="447"/>
      <c r="D170" s="446" t="e">
        <f>VLOOKUP($D135,Maschinenliste!$A$17:$AE$966,29,0)</f>
        <v>#N/A</v>
      </c>
      <c r="E170" s="362"/>
      <c r="F170" s="753" t="e">
        <f>D170</f>
        <v>#N/A</v>
      </c>
      <c r="G170" s="425"/>
      <c r="H170" s="382"/>
      <c r="I170" s="447" t="s">
        <v>58</v>
      </c>
      <c r="J170" s="447"/>
      <c r="K170" s="446" t="e">
        <f>VLOOKUP($L135,Maschinenliste!$A$17:$AE$966,29,0)</f>
        <v>#N/A</v>
      </c>
      <c r="L170" s="362"/>
      <c r="M170" s="753" t="e">
        <f>K170</f>
        <v>#N/A</v>
      </c>
      <c r="N170" s="425"/>
    </row>
    <row r="171" spans="1:14" ht="13.5" thickBot="1">
      <c r="A171" s="581"/>
      <c r="B171" s="448" t="s">
        <v>59</v>
      </c>
      <c r="C171" s="360"/>
      <c r="D171" s="449" t="e">
        <f>SUM(D167:D170)</f>
        <v>#N/A</v>
      </c>
      <c r="E171" s="450" t="e">
        <f>D171/D154</f>
        <v>#N/A</v>
      </c>
      <c r="F171" s="449" t="e">
        <f>SUM(F167:F170)</f>
        <v>#N/A</v>
      </c>
      <c r="G171" s="451" t="e">
        <f>F171/F154</f>
        <v>#N/A</v>
      </c>
      <c r="H171" s="452"/>
      <c r="I171" s="448" t="s">
        <v>59</v>
      </c>
      <c r="J171" s="360"/>
      <c r="K171" s="449" t="e">
        <f>SUM(K167:K170)</f>
        <v>#N/A</v>
      </c>
      <c r="L171" s="450" t="e">
        <f>K171/K154</f>
        <v>#N/A</v>
      </c>
      <c r="M171" s="449" t="e">
        <f>SUM(M167:M170)</f>
        <v>#N/A</v>
      </c>
      <c r="N171" s="451" t="e">
        <f>M171/M154</f>
        <v>#N/A</v>
      </c>
    </row>
    <row r="172" spans="1:14" ht="13.5" thickTop="1">
      <c r="A172" s="581"/>
      <c r="B172" s="360"/>
      <c r="C172" s="360"/>
      <c r="D172" s="453"/>
      <c r="E172" s="454"/>
      <c r="F172" s="453"/>
      <c r="G172" s="455"/>
      <c r="H172" s="452"/>
      <c r="I172" s="360"/>
      <c r="J172" s="360"/>
      <c r="K172" s="453"/>
      <c r="L172" s="454"/>
      <c r="M172" s="453"/>
      <c r="N172" s="455"/>
    </row>
    <row r="173" spans="1:14" ht="12.75">
      <c r="A173" s="581"/>
      <c r="B173" s="456" t="s">
        <v>1307</v>
      </c>
      <c r="C173" s="360"/>
      <c r="D173" s="430"/>
      <c r="E173" s="454" t="e">
        <f>$D152/$D156*D161</f>
        <v>#N/A</v>
      </c>
      <c r="F173" s="430"/>
      <c r="G173" s="455" t="e">
        <f>IF(F153="Occasion",$D152/$D156*F161,F152/F156*F161)</f>
        <v>#N/A</v>
      </c>
      <c r="H173" s="452"/>
      <c r="I173" s="456" t="s">
        <v>1307</v>
      </c>
      <c r="J173" s="360"/>
      <c r="K173" s="430"/>
      <c r="L173" s="454" t="e">
        <f>$K152/$K156*K161</f>
        <v>#N/A</v>
      </c>
      <c r="M173" s="430"/>
      <c r="N173" s="455" t="e">
        <f>IF(M153="Occasion",$K152/$K156*M161,M152/M156*M161)</f>
        <v>#N/A</v>
      </c>
    </row>
    <row r="174" spans="1:14" ht="12.75">
      <c r="A174" s="581"/>
      <c r="B174" s="456" t="s">
        <v>61</v>
      </c>
      <c r="C174" s="360"/>
      <c r="D174" s="430"/>
      <c r="E174" s="454" t="e">
        <f>IF(ISERROR(VLOOKUP($D135,Spez!$H$4:$H$36,1,0)),IF(ISERROR(VLOOKUP($D135,Spez!$G$4:$G$36,1,0)),IF($E145=0,0,IF($E145=1,$D144*Hypothèses!$C$25*D160*Hypothèses!$C$22,IF($E145=2,$D144*Hypothèses!$C$26*D160*Hypothèses!$C$23,IF($E145=3,$D144*Hypothèses!$C$26*D160*Hypothèses!$C$24,"?")))),IF($E145=1,$D144*Hypothèses!$C$25*D160*Hypothèses!$C$22/$D143*100,IF($E145=2,$D144*Hypothèses!$C$26*D160*Hypothèses!$C$23/$D143*100))),$D144*Hypothèses!$C$25*D160*Hypothèses!$C$22/$D143)</f>
        <v>#N/A</v>
      </c>
      <c r="F174" s="430"/>
      <c r="G174" s="455" t="e">
        <f>IF(ISERROR(VLOOKUP($D135,Spez!$H$4:$H$36,1,0)),IF(ISERROR(VLOOKUP($D135,Spez!$G$4:$G$36,1,0)),IF($E145=0,0,IF($E145=1,$D144*Hypothèses!$C$25*F160*F$23,IF($E145=2,$D144*Hypothèses!$C$26*F160*F$24,IF($E145=3,$D144*Hypothèses!$C$26*F160*Hypothèses!$C$24,"?")))),IF($E145=1,$D144*Hypothèses!$C$25*F160*F$23/$D143*100,IF($E145=2,$D144*Hypothèses!$C$26*F160*F$24/$D143*100))),$D144*Hypothèses!$C$25*F160*F$23/$D143)</f>
        <v>#N/A</v>
      </c>
      <c r="H174" s="452"/>
      <c r="I174" s="456" t="s">
        <v>61</v>
      </c>
      <c r="J174" s="360"/>
      <c r="K174" s="430"/>
      <c r="L174" s="454" t="e">
        <f>IF(ISERROR(VLOOKUP($L135,Spez!$H$4:$H$36,1,0)),IF(ISERROR(VLOOKUP($L135,Spez!$G$4:$G$36,1,0)),IF($M145=0,0,IF($M145=1,$L144*Hypothèses!$C$25*K160*Hypothèses!$C$22,IF($M145=2,$L144*Hypothèses!$C$26*K160*Hypothèses!$C$23,IF($M145=3,$L144*Hypothèses!$C$26*K160*Hypothèses!$C$24,"?")))),IF($M145=1,$L144*Hypothèses!$C$25*K160*Hypothèses!$C$22/$L143*100,IF($M145=2,$L144*Hypothèses!$C$26*K160*Hypothèses!$C$23/$L143*100))),$L144*Hypothèses!$C$25*K160*Hypothèses!$C$22/$L143)</f>
        <v>#N/A</v>
      </c>
      <c r="M174" s="430"/>
      <c r="N174" s="455" t="e">
        <f>IF(ISERROR(VLOOKUP($L135,Spez!$H$4:$H$36,1,0)),IF(ISERROR(VLOOKUP($L135,Spez!$G$4:$G$36,1,0)),IF($M145=0,0,IF($M145=1,$L144*Hypothèses!$C$25*M160*M$23,IF($M145=2,$L144*Hypothèses!$C$26*M160*M$24,IF($M145=3,$L144*Hypothèses!$C$26*M160*Hypothèses!$C$24,"?")))),IF($M145=1,$L144*Hypothèses!$C$25*M160*M$23/$L143*100,IF($M145=2,$L144*Hypothèses!$C$26*M160*M$24/$L143*100))),$L144*Hypothèses!$C$25*M160*M$23/$L143)</f>
        <v>#N/A</v>
      </c>
    </row>
    <row r="175" spans="1:14" ht="12.75">
      <c r="A175" s="581"/>
      <c r="B175" s="456" t="s">
        <v>62</v>
      </c>
      <c r="C175" s="360"/>
      <c r="D175" s="430"/>
      <c r="E175" s="454" t="e">
        <f>IF(ISERROR(VLOOKUP($D135,Spez!$M$4:$M$19,1,0)),IF(VLOOKUP($D135,Maschinenliste!$A$17:$AE$966,31,0)=0,VLOOKUP($D135,Maschinenliste!$A$17:$AE$966,23,0),0),VLOOKUP($D135,Hypothèses!$B$30:$C$34,2,0))</f>
        <v>#N/A</v>
      </c>
      <c r="F175" s="430"/>
      <c r="G175" s="796" t="e">
        <f>E175</f>
        <v>#N/A</v>
      </c>
      <c r="H175" s="452"/>
      <c r="I175" s="456" t="s">
        <v>62</v>
      </c>
      <c r="J175" s="360"/>
      <c r="K175" s="430"/>
      <c r="L175" s="454" t="e">
        <f>IF(ISERROR(VLOOKUP($L135,Spez!$M$4:$M$19,1,0)),IF(VLOOKUP($L135,Maschinenliste!$A$17:$AE$966,31,0)=0,VLOOKUP($L135,Maschinenliste!$A$17:$AE$966,23,0),0),VLOOKUP($D135,Hypothèses!$B$30:$C$34,2,0))</f>
        <v>#N/A</v>
      </c>
      <c r="M175" s="430"/>
      <c r="N175" s="796" t="e">
        <f>L175</f>
        <v>#N/A</v>
      </c>
    </row>
    <row r="176" spans="1:14" ht="13.5" thickBot="1">
      <c r="A176" s="581"/>
      <c r="B176" s="457" t="s">
        <v>63</v>
      </c>
      <c r="C176" s="360"/>
      <c r="D176" s="430"/>
      <c r="E176" s="450" t="e">
        <f>SUM(E173:E175)</f>
        <v>#N/A</v>
      </c>
      <c r="F176" s="430"/>
      <c r="G176" s="451" t="e">
        <f>SUM(G173:G175)</f>
        <v>#N/A</v>
      </c>
      <c r="H176" s="452"/>
      <c r="I176" s="457" t="s">
        <v>63</v>
      </c>
      <c r="J176" s="360"/>
      <c r="K176" s="430"/>
      <c r="L176" s="450" t="e">
        <f>SUM(L173:L175)</f>
        <v>#N/A</v>
      </c>
      <c r="M176" s="430"/>
      <c r="N176" s="451" t="e">
        <f>SUM(N173:N175)</f>
        <v>#N/A</v>
      </c>
    </row>
    <row r="177" spans="1:14" ht="13.5" thickTop="1">
      <c r="A177" s="581"/>
      <c r="B177" s="360"/>
      <c r="C177" s="360"/>
      <c r="D177" s="430"/>
      <c r="E177" s="362"/>
      <c r="F177" s="430"/>
      <c r="G177" s="425"/>
      <c r="H177" s="382"/>
      <c r="I177" s="360"/>
      <c r="J177" s="360"/>
      <c r="K177" s="430"/>
      <c r="L177" s="362"/>
      <c r="M177" s="430"/>
      <c r="N177" s="425"/>
    </row>
    <row r="178" spans="1:14" ht="12.75">
      <c r="A178" s="581"/>
      <c r="B178" s="360" t="s">
        <v>64</v>
      </c>
      <c r="C178" s="360"/>
      <c r="D178" s="587">
        <f>IF(ISERROR(VLOOKUP($D135,Spez!$I$4:$I$14,1,0)),"","par charretée")</f>
      </c>
      <c r="E178" s="459" t="e">
        <f>IF(ISERROR(VLOOKUP($D135,Spez!$I$4:$I$14,1,0)),E171+E176,(E171+E176)*VLOOKUP($D135,Maschinenliste!$A$17:$AE$966,28,0))</f>
        <v>#N/A</v>
      </c>
      <c r="F178" s="587">
        <f>IF(ISERROR(VLOOKUP($D135,Spez!$I$4:$I$14,1,0)),"","par charretée")</f>
      </c>
      <c r="G178" s="461" t="e">
        <f>IF(ISERROR(VLOOKUP($D135,Spez!$I$4:$I$14,1,0)),G171+G176,(G171+G176)*VLOOKUP($D135,Maschinenliste!$A$17:$AE$966,28,0))</f>
        <v>#N/A</v>
      </c>
      <c r="H178" s="452"/>
      <c r="I178" s="360" t="s">
        <v>64</v>
      </c>
      <c r="J178" s="360"/>
      <c r="K178" s="587">
        <f>IF(ISERROR(VLOOKUP($L135,Spez!$I$4:$I$14,1,0)),"","par charretée")</f>
      </c>
      <c r="L178" s="459" t="e">
        <f>IF(ISERROR(VLOOKUP($L135,Spez!$I$4:$I$14,1,0)),L171+L176,(L171+L176)*VLOOKUP($L135,Maschinenliste!$A$17:$AE$966,28,0))</f>
        <v>#N/A</v>
      </c>
      <c r="M178" s="587">
        <f>IF(ISERROR(VLOOKUP($L135,Spez!$I$4:$I$14,1,0)),"","par charretée")</f>
      </c>
      <c r="N178" s="461" t="e">
        <f>IF(ISERROR(VLOOKUP($L135,Spez!$I$4:$I$14,1,0)),N171+N176,(N171+N176)*VLOOKUP($L135,Maschinenliste!$A$17:$AE$966,28,0))</f>
        <v>#N/A</v>
      </c>
    </row>
    <row r="179" spans="1:14" ht="13.5" thickBot="1">
      <c r="A179" s="581"/>
      <c r="B179" s="360" t="s">
        <v>65</v>
      </c>
      <c r="C179" s="360"/>
      <c r="D179" s="588">
        <f>IF(ISERROR(VLOOKUP($D135,Spez!$I$4:$I$14,1,0)),"","par charretée")</f>
      </c>
      <c r="E179" s="462" t="e">
        <f>E178*(1+D163+D164)</f>
        <v>#N/A</v>
      </c>
      <c r="F179" s="588">
        <f>IF(ISERROR(VLOOKUP($D135,Spez!$I$4:$I$14,1,0)),"","par charretée")</f>
      </c>
      <c r="G179" s="464" t="e">
        <f>G178*(1+F163+F164)</f>
        <v>#N/A</v>
      </c>
      <c r="H179" s="465"/>
      <c r="I179" s="360" t="s">
        <v>65</v>
      </c>
      <c r="J179" s="360"/>
      <c r="K179" s="588">
        <f>IF(ISERROR(VLOOKUP($L135,Spez!$I$4:$I$14,1,0)),"","par charretée")</f>
      </c>
      <c r="L179" s="462" t="e">
        <f>L178*(1+K163+K164)</f>
        <v>#N/A</v>
      </c>
      <c r="M179" s="588">
        <f>IF(ISERROR(VLOOKUP($L135,Spez!$I$4:$I$14,1,0)),"","par charretée")</f>
      </c>
      <c r="N179" s="464" t="e">
        <f>N178*(1+M163+M164)</f>
        <v>#N/A</v>
      </c>
    </row>
    <row r="180" spans="1:14" ht="12.75">
      <c r="A180" s="581"/>
      <c r="B180" s="360"/>
      <c r="C180" s="360"/>
      <c r="D180" s="410">
        <f>IF(ISERROR(VLOOKUP($D135,Spez!$P$4:$P$30,1,0)),"","Fr. par charretée")</f>
      </c>
      <c r="E180" s="466">
        <f>IF(ISERROR(VLOOKUP($D135,Spez!$P$4:$P$30,1,0)),"",E179*VLOOKUP($D135,Maschinenliste!$A$17:$AE$966,28,0))</f>
      </c>
      <c r="F180" s="467">
        <f>IF(ISERROR(VLOOKUP($D135,Spez!$P$4:$P$30,1,0)),"","Fr. par charretée")</f>
      </c>
      <c r="G180" s="466">
        <f>IF(ISERROR(VLOOKUP($D135,Spez!$P$4:$P$30,1,0)),"",G179*VLOOKUP($D135,Maschinenliste!$A$17:$AE$966,28,0))</f>
      </c>
      <c r="H180" s="465"/>
      <c r="I180" s="360"/>
      <c r="J180" s="360"/>
      <c r="K180" s="410">
        <f>IF(ISERROR(VLOOKUP($L135,Spez!$P$4:$P$30,1,0)),"","Fr. par charretée")</f>
      </c>
      <c r="L180" s="466">
        <f>IF(ISERROR(VLOOKUP($L135,Spez!$P$4:$P$30,1,0)),"",L179*VLOOKUP($L135,Maschinenliste!$A$17:$AE$966,28,0))</f>
      </c>
      <c r="M180" s="467">
        <f>IF(ISERROR(VLOOKUP($L135,Spez!$P$4:$P$30,1,0)),"","Fr. par charretée")</f>
      </c>
      <c r="N180" s="466">
        <f>IF(ISERROR(VLOOKUP($L135,Spez!$P$4:$P$30,1,0)),"",N179*VLOOKUP($L135,Maschinenliste!$A$17:$AE$966,28,0))</f>
      </c>
    </row>
    <row r="181" spans="1:14" ht="13.5" thickBot="1">
      <c r="A181" s="581"/>
      <c r="B181" s="360" t="e">
        <f>IF(C138="heures (h)","","Tarif d'indemnisation (supp. compris) par heure")</f>
        <v>#N/A</v>
      </c>
      <c r="C181" s="360"/>
      <c r="D181" s="410" t="e">
        <f>IF(E154="heures (h)","","Fr. par heure")</f>
        <v>#N/A</v>
      </c>
      <c r="E181" s="468" t="e">
        <f>IF(E154="heures (h)","",IF(ISERROR(VLOOKUP($D135,Spez!$P$4:$P$44,1,0)),IF($C138="heures (h)","",IF($C138="hectares",E179*$D141/100,E179*$D141)),E179*VLOOKUP($D135,Maschinenliste!$A$17:$AE$966,28,0)*$D141))</f>
        <v>#N/A</v>
      </c>
      <c r="F181" s="458" t="e">
        <f>IF(G154="heures (h)","","Fr. je heure")</f>
        <v>#N/A</v>
      </c>
      <c r="G181" s="468" t="e">
        <f>IF(G154="heures (h)","",IF(ISERROR(VLOOKUP($D135,Spez!$P$4:$P$44,1,0)),IF($C138="heures (h)","",IF($C138="hectares",G179*$D141/100,G179*$D141)),G179*VLOOKUP($D135,Maschinenliste!$A$17:$AE$966,28,0)*$D141))</f>
        <v>#N/A</v>
      </c>
      <c r="H181" s="465"/>
      <c r="I181" s="360" t="e">
        <f>IF(K138="heures (h)","","Tarif d'indemnisation (supp. compris) par heure")</f>
        <v>#N/A</v>
      </c>
      <c r="J181" s="360"/>
      <c r="K181" s="410" t="e">
        <f>IF(L154="heures (h)","","Fr. par heure")</f>
        <v>#N/A</v>
      </c>
      <c r="L181" s="468" t="e">
        <f>IF(L154="heures (h)","",IF(ISERROR(VLOOKUP($L135,Spez!$P$4:$P$44,1,0)),IF($K138="heures (h)","",IF($K138="hectares",L179*$L141/100,L179*$L141)),L179*VLOOKUP($L135,Maschinenliste!$A$17:$AE$966,28,0)*$L141))</f>
        <v>#N/A</v>
      </c>
      <c r="M181" s="458" t="e">
        <f>IF(N154="heures (h)","","Fr. je heure")</f>
        <v>#N/A</v>
      </c>
      <c r="N181" s="468" t="e">
        <f>IF(N154="heures (h)","",IF(ISERROR(VLOOKUP($L135,Spez!$P$4:$P$44,1,0)),IF($K138="heures (h)","",IF($K138="hectares",N179*$L141/100,N179*$L141)),N179*VLOOKUP($L135,Maschinenliste!$A$17:$AE$966,28,0)*$L141))</f>
        <v>#N/A</v>
      </c>
    </row>
    <row r="182" spans="1:14" ht="13.5" hidden="1" thickTop="1">
      <c r="A182" s="581"/>
      <c r="B182" s="368" t="s">
        <v>410</v>
      </c>
      <c r="C182" s="360"/>
      <c r="D182" s="362"/>
      <c r="E182" s="469" t="e">
        <f>IF(ISERROR(VLOOKUP($D135,Spez!$F$4:$F$87,1,0)),VLOOKUP($D135,Maschinenliste!$A$17:$AE$966,6,0)-E179,VLOOKUP($D135,Maschinenliste!$A$17:$AE$966,26,0)-E179)</f>
        <v>#N/A</v>
      </c>
      <c r="F182" s="470"/>
      <c r="G182" s="471" t="e">
        <f>IF(ISERROR(VLOOKUP($D135,Spez!$F$5:$F$87,1,0)),VLOOKUP($D135,Maschinenliste!$A$17:$AE$966,6,0)-G179,VLOOKUP($D135,Maschinenliste!$A$17:$AE$966,28,0)-G179)</f>
        <v>#N/A</v>
      </c>
      <c r="H182" s="472"/>
      <c r="I182" s="368" t="s">
        <v>410</v>
      </c>
      <c r="J182" s="360"/>
      <c r="K182" s="362"/>
      <c r="L182" s="469" t="e">
        <f>IF(ISERROR(VLOOKUP($L135,Spez!$F$4:$F$87,1,0)),VLOOKUP($L135,Maschinenliste!$A$17:$AE$966,6,0)-L179,VLOOKUP($L135,Maschinenliste!$A$17:$AE$966,26,0)-L179)</f>
        <v>#N/A</v>
      </c>
      <c r="M182" s="470"/>
      <c r="N182" s="471" t="e">
        <f>IF(ISERROR(VLOOKUP($L135,Spez!$F$5:$F$87,1,0)),VLOOKUP($L135,Maschinenliste!$A$17:$AE$966,6,0)-N179,VLOOKUP($L135,Maschinenliste!$A$17:$AE$966,28,0)-N179)</f>
        <v>#N/A</v>
      </c>
    </row>
    <row r="183" spans="1:14" ht="12.75" hidden="1">
      <c r="A183" s="581"/>
      <c r="B183" s="368" t="s">
        <v>411</v>
      </c>
      <c r="C183" s="360"/>
      <c r="D183" s="362"/>
      <c r="E183" s="473" t="e">
        <f>IF(ISERROR(VLOOKUP($D135,Spez!$F$4:$F$87,1,0)),VLOOKUP($D135,Maschinenliste!$A$17:$AE$966,7,0)-E179,VLOOKUP($D135,Maschinenliste!$A$17:$AE$966,27,0)-E179)</f>
        <v>#N/A</v>
      </c>
      <c r="F183" s="470"/>
      <c r="G183" s="471" t="e">
        <f>IF(ISERROR(VLOOKUP($D135,Spez!$F$5:$F$87,1,0)),VLOOKUP($D135,Maschinenliste!$A$17:$AE$966,7,0)-G179,VLOOKUP($D135,Maschinenliste!$A$17:$AE$966,29,0)-G179)</f>
        <v>#N/A</v>
      </c>
      <c r="H183" s="472"/>
      <c r="I183" s="368" t="s">
        <v>411</v>
      </c>
      <c r="J183" s="360"/>
      <c r="K183" s="362"/>
      <c r="L183" s="473" t="e">
        <f>IF(ISERROR(VLOOKUP($L135,Spez!$F$4:$F$87,1,0)),VLOOKUP($L135,Maschinenliste!$A$17:$AE$966,7,0)-L179,VLOOKUP($L135,Maschinenliste!$A$17:$AE$966,27,0)-L179)</f>
        <v>#N/A</v>
      </c>
      <c r="M183" s="470"/>
      <c r="N183" s="471" t="e">
        <f>IF(ISERROR(VLOOKUP($L135,Spez!$F$5:$F$87,1,0)),VLOOKUP($L135,Maschinenliste!$A$17:$AE$966,7,0)-N179,VLOOKUP($L135,Maschinenliste!$A$17:$AE$966,29,0)-N179)</f>
        <v>#N/A</v>
      </c>
    </row>
    <row r="184" spans="1:14" ht="15.75" thickTop="1">
      <c r="A184" s="581"/>
      <c r="B184" s="368"/>
      <c r="C184" s="360"/>
      <c r="D184" s="362"/>
      <c r="E184" s="474"/>
      <c r="F184" s="475" t="e">
        <f>IF(F155*F154&gt;F156,"le degré d'utilisation dépasse 100% - veuillez corriger l'utilisation annuelle ou durée d'amortissement!","")</f>
        <v>#N/A</v>
      </c>
      <c r="I184" s="368"/>
      <c r="J184" s="360"/>
      <c r="K184" s="362"/>
      <c r="L184" s="474"/>
      <c r="M184" s="475" t="e">
        <f>IF(M155*M154&gt;M156,"le degré d'utilisation dépasse 100% - veuillez corriger l'utilisation annuelle ou durée d'amortissement!","")</f>
        <v>#N/A</v>
      </c>
      <c r="N184" s="363"/>
    </row>
    <row r="185" spans="1:14" ht="15.75">
      <c r="A185" s="581"/>
      <c r="B185" s="476" t="e">
        <f>IF(Hypothèses!$F$11&gt;0,"Les hypothèses générales ont été modifiées - le résultat (valeur par défaut) ne correspond pas à la valeur indicative officielle d’Agroscope.",IF(AND((OR(E182&gt;1,E182&lt;-1)),(OR(E183&gt;1,E183&lt;-1))),"ATTENTION - Vos données ne sont pas correctes","ok"))</f>
        <v>#N/A</v>
      </c>
      <c r="C185" s="360"/>
      <c r="D185" s="360"/>
      <c r="E185" s="477"/>
      <c r="F185" s="477"/>
      <c r="I185" s="476" t="e">
        <f>IF(Hypothèses!$F$11&gt;0,"Les hypothèses générales ont été modifiées - le résultat (valeur par défaut) ne correspond pas à la valeur indicative officielle d’Agroscope.",IF(AND((OR(L182&gt;1,L182&lt;-1)),(OR(L183&gt;1,L183&lt;-1))),"ATTENTION - Vos données ne sont pas correctes","ok"))</f>
        <v>#N/A</v>
      </c>
      <c r="J185" s="360"/>
      <c r="L185" s="477"/>
      <c r="M185" s="477"/>
      <c r="N185" s="363"/>
    </row>
    <row r="186" spans="1:13" ht="12.75">
      <c r="A186" s="581"/>
      <c r="B186" s="478" t="e">
        <f>IF(Hypothèses!$F$11&gt;0,"",IF(B185="ok","",IF(OR(E182&gt;1,E182&lt;-1),"Veuillez vérifier la puissance en kW ou la valeur résiduelle","ok")))</f>
        <v>#N/A</v>
      </c>
      <c r="C186" s="479"/>
      <c r="D186" s="360"/>
      <c r="E186" s="477"/>
      <c r="F186" s="477"/>
      <c r="G186" s="360"/>
      <c r="I186" s="478" t="e">
        <f>IF(Hypothèses!$F$11&gt;0,"",IF(I185="ok","",IF(OR(L182&gt;1,L182&lt;-1),"Veuillez vérifier la puissance en kW ou la valeur résiduelle","ok")))</f>
        <v>#N/A</v>
      </c>
      <c r="J186" s="479"/>
      <c r="L186" s="477"/>
      <c r="M186" s="477"/>
    </row>
    <row r="187" spans="1:14" ht="12.75">
      <c r="A187" s="581"/>
      <c r="B187" s="360" t="s">
        <v>1453</v>
      </c>
      <c r="C187" s="360"/>
      <c r="D187" s="360"/>
      <c r="E187" s="360"/>
      <c r="F187" s="360"/>
      <c r="G187" s="480" t="e">
        <f>(G179/E179)-1</f>
        <v>#N/A</v>
      </c>
      <c r="H187" s="481"/>
      <c r="I187" s="360" t="s">
        <v>1453</v>
      </c>
      <c r="J187" s="360"/>
      <c r="N187" s="480" t="e">
        <f>(N179/L179)-1</f>
        <v>#N/A</v>
      </c>
    </row>
    <row r="188" spans="1:7" ht="12.75">
      <c r="A188" s="581"/>
      <c r="B188" s="360"/>
      <c r="C188" s="360"/>
      <c r="D188" s="360"/>
      <c r="E188" s="360"/>
      <c r="F188" s="360"/>
      <c r="G188" s="360"/>
    </row>
    <row r="189" spans="1:7" ht="12.75">
      <c r="A189" s="581"/>
      <c r="B189" s="360"/>
      <c r="C189" s="360"/>
      <c r="D189" s="360"/>
      <c r="E189" s="360"/>
      <c r="F189" s="360"/>
      <c r="G189" s="360"/>
    </row>
    <row r="190" spans="1:7" ht="12.75">
      <c r="A190" s="581"/>
      <c r="B190" s="360"/>
      <c r="C190" s="360"/>
      <c r="D190" s="360"/>
      <c r="E190" s="360"/>
      <c r="F190" s="360"/>
      <c r="G190" s="360"/>
    </row>
    <row r="191" spans="1:7" ht="12.75">
      <c r="A191" s="581"/>
      <c r="B191" s="360"/>
      <c r="C191" s="360"/>
      <c r="D191" s="360"/>
      <c r="E191" s="360"/>
      <c r="F191" s="360"/>
      <c r="G191" s="360"/>
    </row>
    <row r="192" spans="1:12" ht="18">
      <c r="A192" s="581"/>
      <c r="B192" s="367" t="str">
        <f>IF($C$4=1,"",IF($C$4=2,"Calcul machine A3","?"))</f>
        <v>Calcul machine A3</v>
      </c>
      <c r="C192" s="360"/>
      <c r="D192" s="485" t="str">
        <f>IF(LEN(D195)&gt;0,"","Sélectionnez le code de machine")</f>
        <v>Sélectionnez le code de machine</v>
      </c>
      <c r="E192" s="360"/>
      <c r="F192" s="360"/>
      <c r="G192" s="360"/>
      <c r="I192" s="367" t="str">
        <f>IF($C$4=1,"",IF($C$4=2,"Calcul machine B3","?"))</f>
        <v>Calcul machine B3</v>
      </c>
      <c r="L192" s="485" t="str">
        <f>IF(LEN(L195)&gt;0,"","Sélectionnez le code de machine")</f>
        <v>Sélectionnez le code de machine</v>
      </c>
    </row>
    <row r="193" spans="1:9" ht="12.75">
      <c r="A193" s="581"/>
      <c r="B193" s="486" t="e">
        <f>IF(AND(LEN(D195)&gt;0,LEN(D135)&gt;0,C198=C138),"","Erreur! Les machines n'ont pas la même UT.")</f>
        <v>#N/A</v>
      </c>
      <c r="C193" s="360"/>
      <c r="D193" s="360"/>
      <c r="E193" s="360"/>
      <c r="F193" s="360"/>
      <c r="G193" s="360"/>
      <c r="I193" s="486" t="e">
        <f>IF(AND(LEN(L195)&gt;0,LEN(L135)&gt;0,K198=K138),"","Erreur! Les machines n'ont pas la même UT.")</f>
        <v>#N/A</v>
      </c>
    </row>
    <row r="194" spans="1:14" ht="13.5" thickBot="1">
      <c r="A194" s="581"/>
      <c r="B194" s="372" t="s">
        <v>30</v>
      </c>
      <c r="C194" s="373"/>
      <c r="D194" s="374" t="s">
        <v>31</v>
      </c>
      <c r="E194" s="373"/>
      <c r="F194" s="373"/>
      <c r="G194" s="373"/>
      <c r="I194" s="372" t="s">
        <v>30</v>
      </c>
      <c r="J194" s="373"/>
      <c r="K194" s="374" t="s">
        <v>31</v>
      </c>
      <c r="L194" s="373"/>
      <c r="M194" s="373"/>
      <c r="N194" s="373"/>
    </row>
    <row r="195" spans="1:14" ht="15.75">
      <c r="A195" s="581"/>
      <c r="B195" s="490"/>
      <c r="C195" s="379"/>
      <c r="D195" s="487"/>
      <c r="E195" s="380" t="s">
        <v>228</v>
      </c>
      <c r="F195" s="381"/>
      <c r="G195" s="381"/>
      <c r="H195" s="382"/>
      <c r="I195" s="488"/>
      <c r="J195" s="383"/>
      <c r="K195" s="383"/>
      <c r="L195" s="487"/>
      <c r="M195" s="376" t="s">
        <v>330</v>
      </c>
      <c r="N195" s="377"/>
    </row>
    <row r="196" spans="1:14" ht="16.5" thickBot="1">
      <c r="A196" s="581"/>
      <c r="B196" s="384" t="e">
        <f>VLOOKUP(D195,Maschinenliste!$A$17:$AE$966,3,0)</f>
        <v>#N/A</v>
      </c>
      <c r="C196" s="385"/>
      <c r="D196" s="386"/>
      <c r="E196" s="387"/>
      <c r="F196" s="388"/>
      <c r="G196" s="388"/>
      <c r="H196" s="382"/>
      <c r="I196" s="389" t="e">
        <f>VLOOKUP(L195,Maschinenliste!$A$17:$AE$966,3,0)</f>
        <v>#N/A</v>
      </c>
      <c r="J196" s="390"/>
      <c r="K196" s="390"/>
      <c r="L196" s="391"/>
      <c r="M196" s="377"/>
      <c r="N196" s="377"/>
    </row>
    <row r="197" spans="1:14" ht="12.75">
      <c r="A197" s="581"/>
      <c r="B197" s="392">
        <f>IF(ISERROR(VLOOKUP($D195,Spez!$A$4:$A$30,1,0)),"","Stop: la machine sélectionnée ne peut pas être calculée avec ce programme!")</f>
      </c>
      <c r="C197" s="381"/>
      <c r="D197" s="381"/>
      <c r="E197" s="381"/>
      <c r="F197" s="381"/>
      <c r="G197" s="381"/>
      <c r="H197" s="382"/>
      <c r="I197" s="392">
        <f>IF(ISERROR(VLOOKUP($L195,Spez!$A$4:$A$30,1,0)),"","Stop: la machine sélectionnée ne peut pas être calculée avec ce programme!")</f>
      </c>
      <c r="J197" s="376"/>
      <c r="K197" s="377"/>
      <c r="L197" s="377"/>
      <c r="M197" s="377"/>
      <c r="N197" s="377"/>
    </row>
    <row r="198" spans="1:14" ht="12.75">
      <c r="A198" s="581"/>
      <c r="B198" s="393" t="s">
        <v>898</v>
      </c>
      <c r="C198" s="394" t="e">
        <f>VLOOKUP($D195,Maschinenliste!$A$17:$AE$966,30,0)</f>
        <v>#N/A</v>
      </c>
      <c r="D198" s="393" t="e">
        <f>VLOOKUP(E205,$R$5:$S$8,2,0)</f>
        <v>#N/A</v>
      </c>
      <c r="E198" s="395" t="e">
        <f>IF(E205=3,$T$8,"")</f>
        <v>#N/A</v>
      </c>
      <c r="F198" s="381"/>
      <c r="G198" s="373"/>
      <c r="I198" s="376"/>
      <c r="J198" s="393" t="s">
        <v>898</v>
      </c>
      <c r="K198" s="397" t="e">
        <f>VLOOKUP($L195,Maschinenliste!$A$17:$AE$966,30,0)</f>
        <v>#N/A</v>
      </c>
      <c r="L198" s="396" t="e">
        <f>VLOOKUP(M205,$R$5:$S$8,2,0)</f>
        <v>#N/A</v>
      </c>
      <c r="M198" s="398" t="e">
        <f>IF(M205=3,$T$8,"")</f>
        <v>#N/A</v>
      </c>
      <c r="N198" s="377"/>
    </row>
    <row r="199" spans="1:14" ht="12.75" hidden="1">
      <c r="A199" s="581"/>
      <c r="B199" s="373"/>
      <c r="C199" s="399">
        <f>IF(ISERROR(VLOOKUP($D195,Spez!$D$4:$D$46,1,0)),"","Bitte geben Sie manuell die Leistung in kW ein")</f>
      </c>
      <c r="D199" s="298">
        <v>5</v>
      </c>
      <c r="E199" s="400">
        <f>IF(ISERROR(VLOOKUP($D195,Spez!$D$4:$D$45,1,0)),"","siehe Masch.bezeichnung")</f>
      </c>
      <c r="F199" s="381"/>
      <c r="G199" s="373"/>
      <c r="I199" s="376"/>
      <c r="J199" s="377"/>
      <c r="K199" s="401">
        <f>IF(ISERROR(VLOOKUP($L195,Spez!$D$4:$D$46,1,0)),"","Bitte geben Sie manuell die Leistung in kW ein")</f>
      </c>
      <c r="L199" s="273"/>
      <c r="M199" s="402">
        <f>IF(ISERROR(VLOOKUP($L195,Spez!$D$4:$D$45,1,0)),"","siehe Masch.bezeichnung")</f>
      </c>
      <c r="N199" s="377"/>
    </row>
    <row r="200" spans="1:14" ht="12.75" hidden="1">
      <c r="A200" s="581"/>
      <c r="B200" s="403"/>
      <c r="C200" s="373"/>
      <c r="D200" s="373"/>
      <c r="E200" s="380"/>
      <c r="F200" s="381"/>
      <c r="G200" s="373"/>
      <c r="I200" s="376"/>
      <c r="J200" s="404"/>
      <c r="K200" s="377"/>
      <c r="L200" s="377"/>
      <c r="M200" s="375"/>
      <c r="N200" s="377"/>
    </row>
    <row r="201" spans="1:14" ht="12.75">
      <c r="A201" s="581"/>
      <c r="B201" s="373"/>
      <c r="C201" s="393" t="s">
        <v>1451</v>
      </c>
      <c r="D201" s="405" t="e">
        <f>IF(ISERROR(VLOOKUP($D195,Spez!$D$48:$D$54,1,0)),IF(C198="heures (h)","",IF(ISERROR(VLOOKUP($D195,Spez!$N$4:$N$27,1,0)),VLOOKUP($D195,Maschinenliste!$A$17:$Y$966,4,0)/E207,VLOOKUP($D195,Maschinenliste!$A$17:$Y$966,4,0))),VLOOKUP($D195,Maschinenliste!$A$17:$Y$966,4,0))</f>
        <v>#N/A</v>
      </c>
      <c r="E201" s="406" t="e">
        <f>IF(ISERROR(VLOOKUP($D195,Spez!$O$4:$O$56,1,0)),IF(C198="hectares","ares",IF(C198="heures (h)","",C198)),"charretées")</f>
        <v>#N/A</v>
      </c>
      <c r="F201" s="407" t="e">
        <f>IF(D205=0,"par heure","")</f>
        <v>#N/A</v>
      </c>
      <c r="G201" s="373"/>
      <c r="I201" s="376"/>
      <c r="J201" s="375"/>
      <c r="K201" s="393" t="s">
        <v>1451</v>
      </c>
      <c r="L201" s="405" t="e">
        <f>IF(ISERROR(VLOOKUP($L195,Spez!$D$48:$D$54,1,0)),IF(K198="heures (h)","",IF(ISERROR(VLOOKUP($L195,Spez!$N$4:$N$27,1,0)),VLOOKUP($L195,Maschinenliste!$A$17:$Y$966,4,0)/L207,VLOOKUP($L195,Maschinenliste!$A$17:$Y$966,4,0))),VLOOKUP($L195,Maschinenliste!$A$17:$Y$966,4,0))</f>
        <v>#N/A</v>
      </c>
      <c r="M201" s="406" t="e">
        <f>IF(ISERROR(VLOOKUP($L195,Spez!$O$4:$O$56,1,0)),IF(K198="hectares","ares",IF(K198="heures (h)","",K198)),"charretées")</f>
        <v>#N/A</v>
      </c>
      <c r="N201" s="407" t="e">
        <f>IF(L205=0,"par heure","")</f>
        <v>#N/A</v>
      </c>
    </row>
    <row r="202" spans="1:14" ht="12.75">
      <c r="A202" s="581"/>
      <c r="B202" s="362"/>
      <c r="C202" s="408"/>
      <c r="D202" s="409"/>
      <c r="E202" s="410"/>
      <c r="F202" s="411"/>
      <c r="G202" s="362"/>
      <c r="H202" s="382"/>
      <c r="K202" s="408"/>
      <c r="L202" s="409"/>
      <c r="M202" s="410"/>
      <c r="N202" s="411"/>
    </row>
    <row r="203" spans="1:13" ht="12.75">
      <c r="A203" s="581"/>
      <c r="B203" s="360"/>
      <c r="C203" s="412" t="s">
        <v>229</v>
      </c>
      <c r="D203" s="413" t="e">
        <f>VLOOKUP($D195,Maschinenliste!$A$17:$AE$966,4,0)</f>
        <v>#N/A</v>
      </c>
      <c r="E203" s="414" t="e">
        <f>IF(VLOOKUP($D195,Spez!$G$4:$G$15,1,0),"Umrechnung",0)</f>
        <v>#N/A</v>
      </c>
      <c r="F203" s="360"/>
      <c r="G203" s="360"/>
      <c r="J203" s="360"/>
      <c r="K203" s="412" t="s">
        <v>229</v>
      </c>
      <c r="L203" s="413" t="e">
        <f>VLOOKUP($L195,Maschinenliste!$A$17:$AE$966,4,0)</f>
        <v>#N/A</v>
      </c>
      <c r="M203" s="414" t="e">
        <f>IF(VLOOKUP($L195,Spez!$G$4:$G$15,1,0),"Umrechnung",0)</f>
        <v>#N/A</v>
      </c>
    </row>
    <row r="204" spans="1:13" ht="12.75">
      <c r="A204" s="581"/>
      <c r="B204" s="360"/>
      <c r="C204" s="412" t="s">
        <v>452</v>
      </c>
      <c r="D204" s="415" t="e">
        <f>IF(ISERROR(VLOOKUP($D195,Spez!$D$4:$D$46,1,0)),D203*E207,D199)</f>
        <v>#N/A</v>
      </c>
      <c r="E204" s="416" t="s">
        <v>419</v>
      </c>
      <c r="F204" s="360"/>
      <c r="G204" s="360"/>
      <c r="J204" s="360"/>
      <c r="K204" s="412" t="s">
        <v>452</v>
      </c>
      <c r="L204" s="415" t="e">
        <f>IF(ISERROR(VLOOKUP($L195,Spez!$D$4:$D$46,1,0)),L203*L207,L199)</f>
        <v>#N/A</v>
      </c>
      <c r="M204" s="416" t="s">
        <v>419</v>
      </c>
    </row>
    <row r="205" spans="1:13" ht="12.75">
      <c r="A205" s="581"/>
      <c r="B205" s="360"/>
      <c r="C205" s="368"/>
      <c r="D205" s="417" t="e">
        <f>IF(ISERROR(VLOOKUP($D195,Spez!$D$48:$D$60,1,0)),IF(C198="heures (h)",1,0),0)</f>
        <v>#N/A</v>
      </c>
      <c r="E205" s="289" t="e">
        <f>VLOOKUP(D195,Maschinenliste!$A$17:$AE$966,31,0)</f>
        <v>#N/A</v>
      </c>
      <c r="G205" s="360"/>
      <c r="J205" s="360"/>
      <c r="K205" s="368"/>
      <c r="L205" s="417" t="e">
        <f>IF(ISERROR(VLOOKUP($L195,Spez!$D$48:$D$60,1,0)),IF(K198="heures (h)",1,0),0)</f>
        <v>#N/A</v>
      </c>
      <c r="M205" s="289" t="e">
        <f>VLOOKUP(L195,Maschinenliste!$A$17:$AE$966,31,0)</f>
        <v>#N/A</v>
      </c>
    </row>
    <row r="206" spans="1:7" ht="13.5" thickBot="1">
      <c r="A206" s="581"/>
      <c r="B206" s="360"/>
      <c r="C206" s="360"/>
      <c r="D206" s="418"/>
      <c r="E206" s="360"/>
      <c r="F206" s="360"/>
      <c r="G206" s="360"/>
    </row>
    <row r="207" spans="1:14" ht="16.5" thickBot="1">
      <c r="A207" s="581"/>
      <c r="B207" s="360"/>
      <c r="C207" s="360"/>
      <c r="D207" s="362"/>
      <c r="E207" s="419">
        <f>IF(ISERROR(VLOOKUP($D195,Spez!$O$4:$O$45,1,0)),1,VLOOKUP($D195,Maschinenliste!$A$17:$AE$966,28,0))</f>
        <v>1</v>
      </c>
      <c r="F207" s="420" t="s">
        <v>32</v>
      </c>
      <c r="G207" s="421"/>
      <c r="H207" s="382"/>
      <c r="L207" s="419">
        <f>IF(ISERROR(VLOOKUP($L195,Spez!$O$4:$O$45,1,0)),1,VLOOKUP($L195,Maschinenliste!$A$17:$AE$966,28,0))</f>
        <v>1</v>
      </c>
      <c r="M207" s="420" t="s">
        <v>32</v>
      </c>
      <c r="N207" s="422"/>
    </row>
    <row r="208" spans="1:14" ht="13.5" thickBot="1">
      <c r="A208" s="581"/>
      <c r="B208" s="360"/>
      <c r="C208" s="360"/>
      <c r="D208" s="362"/>
      <c r="E208" s="362"/>
      <c r="F208" s="744" t="e">
        <f>IF(G247=0,"","données ont été modifiées")</f>
        <v>#N/A</v>
      </c>
      <c r="G208" s="362"/>
      <c r="H208" s="382"/>
      <c r="K208" s="362"/>
      <c r="L208" s="362"/>
      <c r="M208" s="744" t="e">
        <f>IF(N247=0,"","données ont été modifiées")</f>
        <v>#N/A</v>
      </c>
      <c r="N208" s="362"/>
    </row>
    <row r="209" spans="1:14" ht="12.75" hidden="1">
      <c r="A209" s="581"/>
      <c r="B209" s="360"/>
      <c r="C209" s="360"/>
      <c r="D209" s="362" t="s">
        <v>387</v>
      </c>
      <c r="E209" s="423" t="e">
        <f>IF(E205=1,"Eingabe","")</f>
        <v>#N/A</v>
      </c>
      <c r="F209" s="299">
        <v>1.79</v>
      </c>
      <c r="G209" s="424" t="s">
        <v>431</v>
      </c>
      <c r="H209" s="382"/>
      <c r="I209" s="360"/>
      <c r="J209" s="360"/>
      <c r="L209" s="362" t="s">
        <v>387</v>
      </c>
      <c r="M209" s="301">
        <f>F209</f>
        <v>1.79</v>
      </c>
      <c r="N209" s="424" t="s">
        <v>431</v>
      </c>
    </row>
    <row r="210" spans="1:14" ht="13.5" hidden="1" thickBot="1">
      <c r="A210" s="581"/>
      <c r="B210" s="360"/>
      <c r="C210" s="360"/>
      <c r="D210" s="362" t="s">
        <v>429</v>
      </c>
      <c r="E210" s="423" t="e">
        <f>IF(E205=2,"Eingabe","")</f>
        <v>#N/A</v>
      </c>
      <c r="F210" s="354">
        <v>1.6</v>
      </c>
      <c r="G210" s="425" t="s">
        <v>431</v>
      </c>
      <c r="H210" s="382"/>
      <c r="I210" s="360"/>
      <c r="J210" s="360"/>
      <c r="L210" s="362" t="s">
        <v>429</v>
      </c>
      <c r="M210" s="355">
        <f>F210</f>
        <v>1.6</v>
      </c>
      <c r="N210" s="425" t="s">
        <v>431</v>
      </c>
    </row>
    <row r="211" spans="1:14" ht="12.75">
      <c r="A211" s="581"/>
      <c r="B211" s="426" t="s">
        <v>36</v>
      </c>
      <c r="C211" s="427" t="s">
        <v>37</v>
      </c>
      <c r="D211" s="428" t="s">
        <v>1452</v>
      </c>
      <c r="E211" s="429"/>
      <c r="F211" s="484"/>
      <c r="G211" s="424"/>
      <c r="H211" s="382"/>
      <c r="I211" s="426" t="s">
        <v>36</v>
      </c>
      <c r="J211" s="427" t="s">
        <v>37</v>
      </c>
      <c r="K211" s="428" t="s">
        <v>1452</v>
      </c>
      <c r="L211" s="429"/>
      <c r="M211" s="484"/>
      <c r="N211" s="424"/>
    </row>
    <row r="212" spans="1:14" ht="12.75">
      <c r="A212" s="581"/>
      <c r="B212" s="360" t="s">
        <v>38</v>
      </c>
      <c r="C212" s="360" t="s">
        <v>173</v>
      </c>
      <c r="D212" s="431" t="e">
        <f>VLOOKUP($D195,Maschinenliste!$A$17:$AE$966,5,0)</f>
        <v>#N/A</v>
      </c>
      <c r="E212" s="362"/>
      <c r="F212" s="275" t="e">
        <f>D212</f>
        <v>#N/A</v>
      </c>
      <c r="G212" s="425"/>
      <c r="H212" s="382"/>
      <c r="I212" s="360" t="s">
        <v>38</v>
      </c>
      <c r="J212" s="360" t="s">
        <v>173</v>
      </c>
      <c r="K212" s="431" t="e">
        <f>VLOOKUP($L195,Maschinenliste!$A$17:$AE$966,5,0)</f>
        <v>#N/A</v>
      </c>
      <c r="L212" s="362"/>
      <c r="M212" s="275" t="e">
        <f>K212</f>
        <v>#N/A</v>
      </c>
      <c r="N212" s="425"/>
    </row>
    <row r="213" spans="1:14" ht="12.75">
      <c r="A213" s="581"/>
      <c r="B213" s="360" t="s">
        <v>39</v>
      </c>
      <c r="C213" s="360"/>
      <c r="D213" s="431"/>
      <c r="E213" s="362"/>
      <c r="F213" s="283" t="s">
        <v>66</v>
      </c>
      <c r="G213" s="425"/>
      <c r="H213" s="382"/>
      <c r="I213" s="360" t="s">
        <v>39</v>
      </c>
      <c r="J213" s="360"/>
      <c r="K213" s="431"/>
      <c r="L213" s="362"/>
      <c r="M213" s="283" t="s">
        <v>66</v>
      </c>
      <c r="N213" s="425"/>
    </row>
    <row r="214" spans="1:14" ht="12.75">
      <c r="A214" s="581"/>
      <c r="B214" s="360" t="s">
        <v>40</v>
      </c>
      <c r="C214" s="360" t="s">
        <v>82</v>
      </c>
      <c r="D214" s="431" t="e">
        <f>VLOOKUP($D195,Maschinenliste!$A$17:$AE$966,10,0)</f>
        <v>#N/A</v>
      </c>
      <c r="E214" s="411" t="e">
        <f>$C198</f>
        <v>#N/A</v>
      </c>
      <c r="F214" s="276" t="e">
        <f>D214</f>
        <v>#N/A</v>
      </c>
      <c r="G214" s="425" t="e">
        <f>E214</f>
        <v>#N/A</v>
      </c>
      <c r="H214" s="382"/>
      <c r="I214" s="360" t="s">
        <v>40</v>
      </c>
      <c r="J214" s="360" t="s">
        <v>82</v>
      </c>
      <c r="K214" s="431" t="e">
        <f>VLOOKUP($L195,Maschinenliste!$A$17:$AE$966,10,0)</f>
        <v>#N/A</v>
      </c>
      <c r="L214" s="411" t="e">
        <f>$K198</f>
        <v>#N/A</v>
      </c>
      <c r="M214" s="276" t="e">
        <f>K214</f>
        <v>#N/A</v>
      </c>
      <c r="N214" s="425" t="e">
        <f>L214</f>
        <v>#N/A</v>
      </c>
    </row>
    <row r="215" spans="1:14" ht="12.75">
      <c r="A215" s="581"/>
      <c r="B215" s="360" t="s">
        <v>41</v>
      </c>
      <c r="C215" s="360" t="s">
        <v>42</v>
      </c>
      <c r="D215" s="431" t="e">
        <f>VLOOKUP($D195,Maschinenliste!$A$17:$AE$966,12,0)</f>
        <v>#N/A</v>
      </c>
      <c r="E215" s="362"/>
      <c r="F215" s="276" t="e">
        <f>D215</f>
        <v>#N/A</v>
      </c>
      <c r="G215" s="425"/>
      <c r="H215" s="382"/>
      <c r="I215" s="360" t="s">
        <v>41</v>
      </c>
      <c r="J215" s="360" t="s">
        <v>42</v>
      </c>
      <c r="K215" s="431" t="e">
        <f>VLOOKUP($L195,Maschinenliste!$A$17:$AE$966,12,0)</f>
        <v>#N/A</v>
      </c>
      <c r="L215" s="362"/>
      <c r="M215" s="276" t="e">
        <f>K215</f>
        <v>#N/A</v>
      </c>
      <c r="N215" s="425"/>
    </row>
    <row r="216" spans="1:14" ht="12.75">
      <c r="A216" s="581"/>
      <c r="B216" s="360" t="s">
        <v>43</v>
      </c>
      <c r="C216" s="360" t="s">
        <v>82</v>
      </c>
      <c r="D216" s="431" t="e">
        <f>VLOOKUP($D195,Maschinenliste!$A$17:$AE$966,13,0)</f>
        <v>#N/A</v>
      </c>
      <c r="E216" s="411" t="e">
        <f>C198</f>
        <v>#N/A</v>
      </c>
      <c r="F216" s="276" t="e">
        <f>D216</f>
        <v>#N/A</v>
      </c>
      <c r="G216" s="425" t="e">
        <f>E216</f>
        <v>#N/A</v>
      </c>
      <c r="H216" s="382"/>
      <c r="I216" s="360" t="s">
        <v>43</v>
      </c>
      <c r="J216" s="360" t="s">
        <v>82</v>
      </c>
      <c r="K216" s="431" t="e">
        <f>VLOOKUP($L195,Maschinenliste!$A$17:$AE$966,13,0)</f>
        <v>#N/A</v>
      </c>
      <c r="L216" s="411" t="e">
        <f>K198</f>
        <v>#N/A</v>
      </c>
      <c r="M216" s="276" t="e">
        <f>K216</f>
        <v>#N/A</v>
      </c>
      <c r="N216" s="425" t="e">
        <f>L216</f>
        <v>#N/A</v>
      </c>
    </row>
    <row r="217" spans="1:14" ht="12.75">
      <c r="A217" s="581"/>
      <c r="B217" s="360" t="s">
        <v>44</v>
      </c>
      <c r="C217" s="360" t="s">
        <v>175</v>
      </c>
      <c r="D217" s="432" t="e">
        <f>D214*D215/D216</f>
        <v>#N/A</v>
      </c>
      <c r="E217" s="433"/>
      <c r="F217" s="434" t="e">
        <f>IF(LEN(F219)&gt;0,"",F214*F215/F216)</f>
        <v>#N/A</v>
      </c>
      <c r="G217" s="425"/>
      <c r="H217" s="382"/>
      <c r="I217" s="360" t="s">
        <v>44</v>
      </c>
      <c r="J217" s="360" t="s">
        <v>175</v>
      </c>
      <c r="K217" s="432" t="e">
        <f>K214*K215/K216</f>
        <v>#N/A</v>
      </c>
      <c r="L217" s="433"/>
      <c r="M217" s="434" t="e">
        <f>IF(LEN(M219)&gt;0,"",M214*M215/M216)</f>
        <v>#N/A</v>
      </c>
      <c r="N217" s="425"/>
    </row>
    <row r="218" spans="1:14" ht="12.75">
      <c r="A218" s="581"/>
      <c r="B218" s="360" t="s">
        <v>23</v>
      </c>
      <c r="C218" s="360" t="s">
        <v>45</v>
      </c>
      <c r="D218" s="431" t="e">
        <f>VLOOKUP($D195,Maschinenliste!$A$17:$AE$966,14,0)</f>
        <v>#N/A</v>
      </c>
      <c r="E218" s="433"/>
      <c r="F218" s="435" t="e">
        <f>IF(LEN(F219)&gt;0,"",IF(F217&gt;0,IF(F217&lt;Hypothèses!$C$80,Hypothèses!$B$80,IF(AND(F217&gt;=Hypothèses!$C$80,F217&lt;Hypothèses!$C$79),Hypothèses!$B$79,IF(AND(F217&gt;=Hypothèses!$C$79,F217&lt;Hypothèses!$C$78),Hypothèses!$B$78,IF(AND(F217&gt;=Hypothèses!$C$78,F217&lt;Hypothèses!$C$77),Hypothèses!$B$77,IF(AND(F217&gt;=Hypothèses!$C$77,F217&lt;Hypothèses!$C$76),Hypothèses!$B$76,0))))),""))</f>
        <v>#N/A</v>
      </c>
      <c r="G218" s="425"/>
      <c r="H218" s="382"/>
      <c r="I218" s="360" t="s">
        <v>23</v>
      </c>
      <c r="J218" s="360" t="s">
        <v>45</v>
      </c>
      <c r="K218" s="431" t="e">
        <f>VLOOKUP($L195,Maschinenliste!$A$17:$AE$966,14,0)</f>
        <v>#N/A</v>
      </c>
      <c r="L218" s="433"/>
      <c r="M218" s="435" t="e">
        <f>IF(LEN(M219)&gt;0,"",IF(M217&gt;0,IF(M217&lt;Hypothèses!$C$80,Hypothèses!$B$80,IF(AND(M217&gt;=Hypothèses!$C$80,M217&lt;Hypothèses!$C$79),Hypothèses!$B$79,IF(AND(M217&gt;=Hypothèses!$C$79,M217&lt;Hypothèses!$C$78),Hypothèses!$B$78,IF(AND(M217&gt;=Hypothèses!$C$78,M217&lt;Hypothèses!$C$77),Hypothèses!$B$77,IF(AND(M217&gt;=Hypothèses!$C$77,M217&lt;Hypothèses!$C$76),Hypothèses!$B$76,0))))),""))</f>
        <v>#N/A</v>
      </c>
      <c r="N218" s="425"/>
    </row>
    <row r="219" spans="1:14" ht="14.25">
      <c r="A219" s="581"/>
      <c r="B219" s="360" t="s">
        <v>46</v>
      </c>
      <c r="C219" s="360" t="s">
        <v>173</v>
      </c>
      <c r="D219" s="436"/>
      <c r="E219" s="437"/>
      <c r="F219" s="276"/>
      <c r="G219" s="425"/>
      <c r="H219" s="382"/>
      <c r="I219" s="360" t="s">
        <v>46</v>
      </c>
      <c r="J219" s="360" t="s">
        <v>173</v>
      </c>
      <c r="K219" s="436"/>
      <c r="L219" s="437"/>
      <c r="M219" s="276"/>
      <c r="N219" s="425"/>
    </row>
    <row r="220" spans="1:14" ht="12.75">
      <c r="A220" s="581"/>
      <c r="B220" s="360" t="s">
        <v>47</v>
      </c>
      <c r="C220" s="360" t="s">
        <v>175</v>
      </c>
      <c r="D220" s="431" t="e">
        <f>VLOOKUP($D195,Maschinenliste!$A$17:$AE$966,11,0)</f>
        <v>#N/A</v>
      </c>
      <c r="E220" s="362"/>
      <c r="F220" s="276" t="e">
        <f>D220</f>
        <v>#N/A</v>
      </c>
      <c r="G220" s="438" t="e">
        <f>IF(LEN(D220)&gt;1,$D204*F220*Hypothèses!$C$25,"")</f>
        <v>#N/A</v>
      </c>
      <c r="H220" s="439"/>
      <c r="I220" s="360" t="s">
        <v>47</v>
      </c>
      <c r="J220" s="360" t="s">
        <v>175</v>
      </c>
      <c r="K220" s="431" t="e">
        <f>VLOOKUP($L195,Maschinenliste!$A$17:$AE$966,11,0)</f>
        <v>#N/A</v>
      </c>
      <c r="L220" s="362"/>
      <c r="M220" s="276" t="e">
        <f>K220</f>
        <v>#N/A</v>
      </c>
      <c r="N220" s="438" t="e">
        <f>IF(LEN(K220)&gt;1,$L204*M220*Hypothèses!$C$25,"")</f>
        <v>#N/A</v>
      </c>
    </row>
    <row r="221" spans="1:14" ht="12.75">
      <c r="A221" s="581"/>
      <c r="B221" s="360" t="s">
        <v>1306</v>
      </c>
      <c r="C221" s="360" t="s">
        <v>45</v>
      </c>
      <c r="D221" s="431" t="e">
        <f>VLOOKUP($D195,Maschinenliste!$A$17:$AE$966,15,0)</f>
        <v>#N/A</v>
      </c>
      <c r="E221" s="362"/>
      <c r="F221" s="276" t="e">
        <f>D221</f>
        <v>#N/A</v>
      </c>
      <c r="G221" s="754" t="e">
        <f>(F214*G233)</f>
        <v>#N/A</v>
      </c>
      <c r="H221" s="382"/>
      <c r="I221" s="360" t="s">
        <v>1306</v>
      </c>
      <c r="J221" s="360" t="s">
        <v>45</v>
      </c>
      <c r="K221" s="431" t="e">
        <f>VLOOKUP($L195,Maschinenliste!$A$17:$AE$966,15,0)</f>
        <v>#N/A</v>
      </c>
      <c r="L221" s="362"/>
      <c r="M221" s="276" t="e">
        <f>K221</f>
        <v>#N/A</v>
      </c>
      <c r="N221" s="754" t="e">
        <f>(M214*N233)</f>
        <v>#N/A</v>
      </c>
    </row>
    <row r="222" spans="1:14" ht="12.75">
      <c r="A222" s="581"/>
      <c r="B222" s="360" t="s">
        <v>49</v>
      </c>
      <c r="C222" s="360" t="s">
        <v>176</v>
      </c>
      <c r="D222" s="431" t="e">
        <f>VLOOKUP($D195,Maschinenliste!$A$17:$AE$966,16,0)</f>
        <v>#N/A</v>
      </c>
      <c r="E222" s="362"/>
      <c r="F222" s="276" t="e">
        <f>D222</f>
        <v>#N/A</v>
      </c>
      <c r="G222" s="425"/>
      <c r="H222" s="382"/>
      <c r="I222" s="360" t="s">
        <v>49</v>
      </c>
      <c r="J222" s="360" t="s">
        <v>176</v>
      </c>
      <c r="K222" s="431" t="e">
        <f>VLOOKUP($L195,Maschinenliste!$A$17:$AE$966,16,0)</f>
        <v>#N/A</v>
      </c>
      <c r="L222" s="362"/>
      <c r="M222" s="276" t="e">
        <f>K222</f>
        <v>#N/A</v>
      </c>
      <c r="N222" s="425"/>
    </row>
    <row r="223" spans="1:14" ht="12.75">
      <c r="A223" s="581"/>
      <c r="B223" s="360" t="s">
        <v>52</v>
      </c>
      <c r="C223" s="360" t="s">
        <v>175</v>
      </c>
      <c r="D223" s="432">
        <v>0.1</v>
      </c>
      <c r="E223" s="362"/>
      <c r="F223" s="277">
        <f>D223</f>
        <v>0.1</v>
      </c>
      <c r="G223" s="425"/>
      <c r="H223" s="382"/>
      <c r="I223" s="360" t="s">
        <v>52</v>
      </c>
      <c r="J223" s="360" t="s">
        <v>175</v>
      </c>
      <c r="K223" s="432">
        <v>0.1</v>
      </c>
      <c r="L223" s="362"/>
      <c r="M223" s="277">
        <f>K223</f>
        <v>0.1</v>
      </c>
      <c r="N223" s="425"/>
    </row>
    <row r="224" spans="1:14" ht="12.75">
      <c r="A224" s="581"/>
      <c r="B224" s="360" t="s">
        <v>53</v>
      </c>
      <c r="C224" s="360"/>
      <c r="D224" s="432">
        <v>0</v>
      </c>
      <c r="E224" s="362"/>
      <c r="F224" s="277">
        <f>D224</f>
        <v>0</v>
      </c>
      <c r="G224" s="425"/>
      <c r="H224" s="382"/>
      <c r="I224" s="360" t="s">
        <v>53</v>
      </c>
      <c r="J224" s="360"/>
      <c r="K224" s="432">
        <v>0</v>
      </c>
      <c r="L224" s="362"/>
      <c r="M224" s="277">
        <f>K224</f>
        <v>0</v>
      </c>
      <c r="N224" s="425"/>
    </row>
    <row r="225" spans="1:14" ht="12.75">
      <c r="A225" s="581"/>
      <c r="B225" s="360"/>
      <c r="C225" s="360"/>
      <c r="D225" s="430"/>
      <c r="E225" s="362"/>
      <c r="F225" s="430"/>
      <c r="G225" s="441"/>
      <c r="H225" s="382"/>
      <c r="I225" s="360"/>
      <c r="J225" s="360"/>
      <c r="K225" s="430"/>
      <c r="L225" s="362"/>
      <c r="M225" s="430"/>
      <c r="N225" s="441"/>
    </row>
    <row r="226" spans="1:14" ht="12.75">
      <c r="A226" s="581"/>
      <c r="B226" s="427" t="s">
        <v>54</v>
      </c>
      <c r="C226" s="442"/>
      <c r="D226" s="443" t="s">
        <v>67</v>
      </c>
      <c r="E226" s="444" t="s">
        <v>68</v>
      </c>
      <c r="F226" s="443" t="s">
        <v>67</v>
      </c>
      <c r="G226" s="445" t="s">
        <v>69</v>
      </c>
      <c r="H226" s="382"/>
      <c r="I226" s="427" t="s">
        <v>54</v>
      </c>
      <c r="J226" s="442"/>
      <c r="K226" s="443" t="s">
        <v>67</v>
      </c>
      <c r="L226" s="444" t="s">
        <v>68</v>
      </c>
      <c r="M226" s="443" t="s">
        <v>67</v>
      </c>
      <c r="N226" s="445" t="s">
        <v>69</v>
      </c>
    </row>
    <row r="227" spans="1:14" ht="12.75">
      <c r="A227" s="581"/>
      <c r="B227" s="360" t="s">
        <v>55</v>
      </c>
      <c r="C227" s="360"/>
      <c r="D227" s="446" t="e">
        <f>(D212-(D212*D218))/D215</f>
        <v>#N/A</v>
      </c>
      <c r="E227" s="362"/>
      <c r="F227" s="446" t="e">
        <f>IF(LEN(F219)&gt;0,(F212-F219)/F215,(F212-(F212*F218))/F215)</f>
        <v>#N/A</v>
      </c>
      <c r="G227" s="425"/>
      <c r="H227" s="382"/>
      <c r="I227" s="360" t="s">
        <v>55</v>
      </c>
      <c r="J227" s="360"/>
      <c r="K227" s="446" t="e">
        <f>(K212-(K212*K218))/K215</f>
        <v>#N/A</v>
      </c>
      <c r="L227" s="362"/>
      <c r="M227" s="446" t="e">
        <f>IF(LEN(M219)&gt;0,(M212-M219)/M215,(M212-(M212*M218))/M215)</f>
        <v>#N/A</v>
      </c>
      <c r="N227" s="425"/>
    </row>
    <row r="228" spans="1:14" ht="12.75">
      <c r="A228" s="581"/>
      <c r="B228" s="360" t="s">
        <v>56</v>
      </c>
      <c r="C228" s="360"/>
      <c r="D228" s="446" t="e">
        <f>(D212-(D218*D212))*Hypothèses!$C$13/100*0.6+(D218*D212*Hypothèses!$C$13/100)</f>
        <v>#N/A</v>
      </c>
      <c r="E228" s="362"/>
      <c r="F228" s="446" t="e">
        <f>IF(LEN(F219)&gt;0,(F212-F219)*Hypothèses!$C$13/100*0.6+(F219*Hypothèses!$C$13/100),(F212-(F218*F212))*Hypothèses!$C$13/100*0.6+(F218*F212*Hypothèses!$C$13/100))</f>
        <v>#N/A</v>
      </c>
      <c r="G228" s="425"/>
      <c r="H228" s="382"/>
      <c r="I228" s="360" t="s">
        <v>56</v>
      </c>
      <c r="J228" s="360"/>
      <c r="K228" s="446" t="e">
        <f>(K212-(K218*K212))*Hypothèses!$C$13/100*0.6+(K218*K212*Hypothèses!$C$13/100)</f>
        <v>#N/A</v>
      </c>
      <c r="L228" s="362"/>
      <c r="M228" s="446" t="e">
        <f>IF(LEN(M219)&gt;0,(M212-M219)*Hypothèses!$C$13/100*0.6+(M219*Hypothèses!$C$13/100),(M212-(M218*M212))*Hypothèses!$C$13/100*0.6+(M218*M212*Hypothèses!$C$13/100))</f>
        <v>#N/A</v>
      </c>
      <c r="N228" s="425"/>
    </row>
    <row r="229" spans="1:14" ht="12.75">
      <c r="A229" s="581"/>
      <c r="B229" s="360" t="s">
        <v>57</v>
      </c>
      <c r="C229" s="360"/>
      <c r="D229" s="446" t="e">
        <f>IF(ISERROR(VLOOKUP($D195,Spez!$K$4:$K$36,1,0)),IF((VLOOKUP($D195,Maschinenliste!$A$17:$AE$966,31,0)&gt;0),D222*Hypothèses!$C$17,D222*Hypothèses!$C$18),D222*Hypothèses!$C$18)</f>
        <v>#N/A</v>
      </c>
      <c r="E229" s="362"/>
      <c r="F229" s="446" t="e">
        <f>IF(ISERROR(VLOOKUP($D195,Spez!$K$4:$K$36,1,0)),IF((VLOOKUP($D195,Maschinenliste!$A$17:$AE$966,31,0)&gt;0),F222*Hypothèses!$C$17,F222*Hypothèses!$C$18),F222*Hypothèses!$C$18)</f>
        <v>#N/A</v>
      </c>
      <c r="G229" s="425"/>
      <c r="H229" s="382"/>
      <c r="I229" s="360" t="s">
        <v>57</v>
      </c>
      <c r="J229" s="360"/>
      <c r="K229" s="446" t="e">
        <f>IF(ISERROR(VLOOKUP($L195,Spez!$K$4:$K$36,1,0)),IF((VLOOKUP($L195,Maschinenliste!$A$17:$AE$966,31,0)&gt;0),K222*Hypothèses!$C$17,K222*Hypothèses!$C$18),K222*Hypothèses!$C$18)</f>
        <v>#N/A</v>
      </c>
      <c r="L229" s="362"/>
      <c r="M229" s="446" t="e">
        <f>IF(ISERROR(VLOOKUP($L195,Spez!$K$4:$K$36,1,0)),IF((VLOOKUP($L195,Maschinenliste!$A$17:$AE$966,31,0)&gt;0),M222*Hypothèses!$C$17,M222*Hypothèses!$C$18),M222*Hypothèses!$C$18)</f>
        <v>#N/A</v>
      </c>
      <c r="N229" s="425"/>
    </row>
    <row r="230" spans="1:14" ht="12.75">
      <c r="A230" s="581"/>
      <c r="B230" s="447" t="s">
        <v>58</v>
      </c>
      <c r="C230" s="447"/>
      <c r="D230" s="446" t="e">
        <f>VLOOKUP($D195,Maschinenliste!$A$17:$AE$966,29,0)</f>
        <v>#N/A</v>
      </c>
      <c r="E230" s="362"/>
      <c r="F230" s="753" t="e">
        <f>D230</f>
        <v>#N/A</v>
      </c>
      <c r="G230" s="425"/>
      <c r="H230" s="382"/>
      <c r="I230" s="447" t="s">
        <v>58</v>
      </c>
      <c r="J230" s="447"/>
      <c r="K230" s="446" t="e">
        <f>VLOOKUP($L195,Maschinenliste!$A$17:$AE$966,29,0)</f>
        <v>#N/A</v>
      </c>
      <c r="L230" s="362"/>
      <c r="M230" s="753" t="e">
        <f>K230</f>
        <v>#N/A</v>
      </c>
      <c r="N230" s="425"/>
    </row>
    <row r="231" spans="1:14" ht="13.5" thickBot="1">
      <c r="A231" s="581"/>
      <c r="B231" s="448" t="s">
        <v>59</v>
      </c>
      <c r="C231" s="360"/>
      <c r="D231" s="449" t="e">
        <f>SUM(D227:D230)</f>
        <v>#N/A</v>
      </c>
      <c r="E231" s="450" t="e">
        <f>D231/D214</f>
        <v>#N/A</v>
      </c>
      <c r="F231" s="449" t="e">
        <f>SUM(F227:F230)</f>
        <v>#N/A</v>
      </c>
      <c r="G231" s="451" t="e">
        <f>F231/F214</f>
        <v>#N/A</v>
      </c>
      <c r="H231" s="452"/>
      <c r="I231" s="448" t="s">
        <v>59</v>
      </c>
      <c r="J231" s="360"/>
      <c r="K231" s="449" t="e">
        <f>SUM(K227:K230)</f>
        <v>#N/A</v>
      </c>
      <c r="L231" s="450" t="e">
        <f>K231/K214</f>
        <v>#N/A</v>
      </c>
      <c r="M231" s="449" t="e">
        <f>SUM(M227:M230)</f>
        <v>#N/A</v>
      </c>
      <c r="N231" s="451" t="e">
        <f>M231/M214</f>
        <v>#N/A</v>
      </c>
    </row>
    <row r="232" spans="1:14" ht="13.5" thickTop="1">
      <c r="A232" s="581"/>
      <c r="B232" s="360"/>
      <c r="C232" s="360"/>
      <c r="D232" s="453"/>
      <c r="E232" s="454"/>
      <c r="F232" s="453"/>
      <c r="G232" s="455"/>
      <c r="H232" s="452"/>
      <c r="I232" s="360"/>
      <c r="J232" s="360"/>
      <c r="K232" s="453"/>
      <c r="L232" s="454"/>
      <c r="M232" s="453"/>
      <c r="N232" s="455"/>
    </row>
    <row r="233" spans="1:14" ht="12.75">
      <c r="A233" s="581"/>
      <c r="B233" s="456" t="s">
        <v>1307</v>
      </c>
      <c r="C233" s="360"/>
      <c r="D233" s="430"/>
      <c r="E233" s="454" t="e">
        <f>$D212/$D216*D221</f>
        <v>#N/A</v>
      </c>
      <c r="F233" s="430"/>
      <c r="G233" s="455" t="e">
        <f>IF(F213="Occasion",$D212/$D216*F221,F212/F216*F221)</f>
        <v>#N/A</v>
      </c>
      <c r="H233" s="452"/>
      <c r="I233" s="456" t="s">
        <v>1307</v>
      </c>
      <c r="J233" s="360"/>
      <c r="K233" s="430"/>
      <c r="L233" s="454" t="e">
        <f>$K212/$K216*K221</f>
        <v>#N/A</v>
      </c>
      <c r="M233" s="430"/>
      <c r="N233" s="455" t="e">
        <f>IF(M213="Occasion",$K212/$K216*M221,M212/M216*M221)</f>
        <v>#N/A</v>
      </c>
    </row>
    <row r="234" spans="1:14" ht="12.75">
      <c r="A234" s="581"/>
      <c r="B234" s="456" t="s">
        <v>61</v>
      </c>
      <c r="C234" s="360"/>
      <c r="D234" s="430"/>
      <c r="E234" s="454" t="e">
        <f>IF(ISERROR(VLOOKUP($D195,Spez!$H$4:$H$36,1,0)),IF(ISERROR(VLOOKUP($D195,Spez!$G$4:$G$36,1,0)),IF($E205=0,0,IF($E205=1,$D204*Hypothèses!$C$25*D220*Hypothèses!$C$22,IF($E205=2,$D204*Hypothèses!$C$26*D220*Hypothèses!$C$23,IF($E205=3,$D204*Hypothèses!$C$26*D220*Hypothèses!$C$24,"?")))),IF($E205=1,$D204*Hypothèses!$C$25*D220*Hypothèses!$C$22/$D203*100,IF($E205=2,$D204*Hypothèses!$C$26*D220*Hypothèses!$C$23/$D203*100))),$D204*Hypothèses!$C$25*D220*Hypothèses!$C$22/$D203)</f>
        <v>#N/A</v>
      </c>
      <c r="F234" s="430"/>
      <c r="G234" s="455" t="e">
        <f>IF(ISERROR(VLOOKUP($D195,Spez!$H$4:$H$36,1,0)),IF(ISERROR(VLOOKUP($D195,Spez!$G$4:$G$36,1,0)),IF($E205=0,0,IF($E205=1,$D204*Hypothèses!$C$25*F220*F$23,IF($E205=2,$D204*Hypothèses!$C$26*F220*F$24,IF($E205=3,$D204*Hypothèses!$C$26*F220*Hypothèses!$C$24,"?")))),IF($E205=1,$D204*Hypothèses!$C$25*F220*F$23/$D203*100,IF($E205=2,$D204*Hypothèses!$C$26*F220*F$24/$D203*100))),$D204*Hypothèses!$C$25*F220*F$23/$D203)</f>
        <v>#N/A</v>
      </c>
      <c r="H234" s="452"/>
      <c r="I234" s="456" t="s">
        <v>61</v>
      </c>
      <c r="J234" s="360"/>
      <c r="K234" s="430"/>
      <c r="L234" s="454" t="e">
        <f>IF(ISERROR(VLOOKUP($L195,Spez!$H$4:$H$36,1,0)),IF(ISERROR(VLOOKUP($L195,Spez!$G$4:$G$36,1,0)),IF($M205=0,0,IF($M205=1,$L204*Hypothèses!$C$25*K220*Hypothèses!$C$22,IF($M205=2,$L204*Hypothèses!$C$26*K220*Hypothèses!$C$23,IF($M205=3,$L204*Hypothèses!$C$26*K220*Hypothèses!$C$24,"?")))),IF($M205=1,$L204*Hypothèses!$C$25*K220*Hypothèses!$C$22/$L203*100,IF($M205=2,$L204*Hypothèses!$C$26*K220*Hypothèses!$C$23/$L203*100))),$L204*Hypothèses!$C$25*K220*Hypothèses!$C$22/$L203)</f>
        <v>#N/A</v>
      </c>
      <c r="M234" s="430"/>
      <c r="N234" s="455" t="e">
        <f>IF(ISERROR(VLOOKUP($L195,Spez!$H$4:$H$36,1,0)),IF(ISERROR(VLOOKUP($L195,Spez!$G$4:$G$36,1,0)),IF($M205=0,0,IF($M205=1,$L204*Hypothèses!$C$25*M220*M$23,IF($M205=2,$L204*Hypothèses!$C$26*M220*M$24,IF($M205=3,$L204*Hypothèses!$C$26*M220*Hypothèses!$C$24,"?")))),IF($M205=1,$L204*Hypothèses!$C$25*M220*M$23/$L203*100,IF($M205=2,$L204*Hypothèses!$C$26*M220*M$24/$L203*100))),$L204*Hypothèses!$C$25*M220*M$23/$L203)</f>
        <v>#N/A</v>
      </c>
    </row>
    <row r="235" spans="1:14" ht="12.75">
      <c r="A235" s="581"/>
      <c r="B235" s="456" t="s">
        <v>62</v>
      </c>
      <c r="C235" s="360"/>
      <c r="D235" s="430"/>
      <c r="E235" s="454" t="e">
        <f>IF(ISERROR(VLOOKUP($D195,Spez!$M$4:$M$19,1,0)),IF(VLOOKUP($D195,Maschinenliste!$A$17:$AE$966,31,0)=0,VLOOKUP($D195,Maschinenliste!$A$17:$AE$966,23,0),0),VLOOKUP($D195,Hypothèses!$B$30:$C$34,2,0))</f>
        <v>#N/A</v>
      </c>
      <c r="F235" s="430"/>
      <c r="G235" s="796" t="e">
        <f>E235</f>
        <v>#N/A</v>
      </c>
      <c r="H235" s="452"/>
      <c r="I235" s="456" t="s">
        <v>62</v>
      </c>
      <c r="J235" s="360"/>
      <c r="K235" s="430"/>
      <c r="L235" s="454" t="e">
        <f>IF(ISERROR(VLOOKUP($L195,Spez!$M$4:$M$19,1,0)),IF(VLOOKUP($L195,Maschinenliste!$A$17:$AE$966,31,0)=0,VLOOKUP($L195,Maschinenliste!$A$17:$AE$966,23,0),0),VLOOKUP($D195,Hypothèses!$B$30:$C$34,2,0))</f>
        <v>#N/A</v>
      </c>
      <c r="M235" s="430"/>
      <c r="N235" s="796" t="e">
        <f>L235</f>
        <v>#N/A</v>
      </c>
    </row>
    <row r="236" spans="1:14" ht="13.5" thickBot="1">
      <c r="A236" s="581"/>
      <c r="B236" s="457" t="s">
        <v>63</v>
      </c>
      <c r="C236" s="360"/>
      <c r="D236" s="430"/>
      <c r="E236" s="450" t="e">
        <f>SUM(E233:E235)</f>
        <v>#N/A</v>
      </c>
      <c r="F236" s="430"/>
      <c r="G236" s="451" t="e">
        <f>SUM(G233:G235)</f>
        <v>#N/A</v>
      </c>
      <c r="H236" s="452"/>
      <c r="I236" s="457" t="s">
        <v>63</v>
      </c>
      <c r="J236" s="360"/>
      <c r="K236" s="430"/>
      <c r="L236" s="450" t="e">
        <f>SUM(L233:L235)</f>
        <v>#N/A</v>
      </c>
      <c r="M236" s="430"/>
      <c r="N236" s="451" t="e">
        <f>SUM(N233:N235)</f>
        <v>#N/A</v>
      </c>
    </row>
    <row r="237" spans="1:14" ht="13.5" thickTop="1">
      <c r="A237" s="581"/>
      <c r="B237" s="360"/>
      <c r="C237" s="360"/>
      <c r="D237" s="430"/>
      <c r="E237" s="362"/>
      <c r="F237" s="430"/>
      <c r="G237" s="425"/>
      <c r="H237" s="382"/>
      <c r="I237" s="360"/>
      <c r="J237" s="360"/>
      <c r="K237" s="430"/>
      <c r="L237" s="362"/>
      <c r="M237" s="430"/>
      <c r="N237" s="425"/>
    </row>
    <row r="238" spans="1:14" ht="12.75">
      <c r="A238" s="581"/>
      <c r="B238" s="360" t="s">
        <v>64</v>
      </c>
      <c r="C238" s="360"/>
      <c r="D238" s="587">
        <f>IF(ISERROR(VLOOKUP($D195,Spez!$I$4:$I$14,1,0)),"","par charretée")</f>
      </c>
      <c r="E238" s="459" t="e">
        <f>IF(ISERROR(VLOOKUP($D195,Spez!$I$4:$I$14,1,0)),E231+E236,(E231+E236)*VLOOKUP($D195,Maschinenliste!$A$17:$AE$966,28,0))</f>
        <v>#N/A</v>
      </c>
      <c r="F238" s="587">
        <f>IF(ISERROR(VLOOKUP($D195,Spez!$I$4:$I$14,1,0)),"","par charretée")</f>
      </c>
      <c r="G238" s="461" t="e">
        <f>IF(ISERROR(VLOOKUP($D195,Spez!$I$4:$I$14,1,0)),G231+G236,(G231+G236)*VLOOKUP($D195,Maschinenliste!$A$17:$AE$966,28,0))</f>
        <v>#N/A</v>
      </c>
      <c r="H238" s="452"/>
      <c r="I238" s="360" t="s">
        <v>64</v>
      </c>
      <c r="J238" s="360"/>
      <c r="K238" s="587">
        <f>IF(ISERROR(VLOOKUP($L195,Spez!$I$4:$I$14,1,0)),"","par charretée")</f>
      </c>
      <c r="L238" s="459" t="e">
        <f>IF(ISERROR(VLOOKUP($L195,Spez!$I$4:$I$14,1,0)),L231+L236,(L231+L236)*VLOOKUP($L195,Maschinenliste!$A$17:$AE$966,28,0))</f>
        <v>#N/A</v>
      </c>
      <c r="M238" s="587">
        <f>IF(ISERROR(VLOOKUP($L195,Spez!$I$4:$I$14,1,0)),"","par charretée")</f>
      </c>
      <c r="N238" s="461" t="e">
        <f>IF(ISERROR(VLOOKUP($L195,Spez!$I$4:$I$14,1,0)),N231+N236,(N231+N236)*VLOOKUP($L195,Maschinenliste!$A$17:$AE$966,28,0))</f>
        <v>#N/A</v>
      </c>
    </row>
    <row r="239" spans="1:14" ht="13.5" thickBot="1">
      <c r="A239" s="581"/>
      <c r="B239" s="360" t="s">
        <v>65</v>
      </c>
      <c r="C239" s="360"/>
      <c r="D239" s="588">
        <f>IF(ISERROR(VLOOKUP($D195,Spez!$I$4:$I$14,1,0)),"","par charretée")</f>
      </c>
      <c r="E239" s="462" t="e">
        <f>E238*(1+D223+D224)</f>
        <v>#N/A</v>
      </c>
      <c r="F239" s="588">
        <f>IF(ISERROR(VLOOKUP($D195,Spez!$I$4:$I$14,1,0)),"","par charretée")</f>
      </c>
      <c r="G239" s="464" t="e">
        <f>G238*(1+F223+F224)</f>
        <v>#N/A</v>
      </c>
      <c r="H239" s="465"/>
      <c r="I239" s="360" t="s">
        <v>65</v>
      </c>
      <c r="J239" s="360"/>
      <c r="K239" s="588">
        <f>IF(ISERROR(VLOOKUP($L195,Spez!$I$4:$I$14,1,0)),"","par charretée")</f>
      </c>
      <c r="L239" s="462" t="e">
        <f>L238*(1+K223+K224)</f>
        <v>#N/A</v>
      </c>
      <c r="M239" s="588">
        <f>IF(ISERROR(VLOOKUP($L195,Spez!$I$4:$I$14,1,0)),"","par charretée")</f>
      </c>
      <c r="N239" s="464" t="e">
        <f>N238*(1+M223+M224)</f>
        <v>#N/A</v>
      </c>
    </row>
    <row r="240" spans="1:14" ht="12.75">
      <c r="A240" s="581"/>
      <c r="B240" s="360"/>
      <c r="C240" s="360"/>
      <c r="D240" s="410">
        <f>IF(ISERROR(VLOOKUP($D195,Spez!$P$4:$P$30,1,0)),"","Fr. par charretée")</f>
      </c>
      <c r="E240" s="466">
        <f>IF(ISERROR(VLOOKUP($D195,Spez!$P$4:$P$30,1,0)),"",E239*VLOOKUP($D195,Maschinenliste!$A$17:$AE$966,28,0))</f>
      </c>
      <c r="F240" s="467">
        <f>IF(ISERROR(VLOOKUP($D195,Spez!$P$4:$P$30,1,0)),"","Fr. par charretée")</f>
      </c>
      <c r="G240" s="466">
        <f>IF(ISERROR(VLOOKUP($D195,Spez!$P$4:$P$30,1,0)),"",G239*VLOOKUP($D195,Maschinenliste!$A$17:$AE$966,28,0))</f>
      </c>
      <c r="H240" s="465"/>
      <c r="I240" s="360"/>
      <c r="J240" s="360"/>
      <c r="K240" s="410">
        <f>IF(ISERROR(VLOOKUP($L195,Spez!$P$4:$P$30,1,0)),"","Fr. par charretée")</f>
      </c>
      <c r="L240" s="466">
        <f>IF(ISERROR(VLOOKUP($L195,Spez!$P$4:$P$30,1,0)),"",L239*VLOOKUP($L195,Maschinenliste!$A$17:$AE$966,28,0))</f>
      </c>
      <c r="M240" s="467">
        <f>IF(ISERROR(VLOOKUP($L195,Spez!$P$4:$P$30,1,0)),"","Fr. par charretée")</f>
      </c>
      <c r="N240" s="466">
        <f>IF(ISERROR(VLOOKUP($L195,Spez!$P$4:$P$30,1,0)),"",N239*VLOOKUP($L195,Maschinenliste!$A$17:$AE$966,28,0))</f>
      </c>
    </row>
    <row r="241" spans="1:14" ht="13.5" thickBot="1">
      <c r="A241" s="581"/>
      <c r="B241" s="360" t="e">
        <f>IF(C198="heures (h)","","Tarif d'indemnisation (supp. compris) par heure")</f>
        <v>#N/A</v>
      </c>
      <c r="C241" s="360"/>
      <c r="D241" s="410" t="e">
        <f>IF(E214="heures (h)","","Fr. par heure")</f>
        <v>#N/A</v>
      </c>
      <c r="E241" s="468" t="e">
        <f>IF(E214="heures (h)","",IF(ISERROR(VLOOKUP($D195,Spez!$P$4:$P$44,1,0)),IF($C198="heures (h)","",IF($C198="hectares",E239*$D201/100,E239*$D201)),E239*VLOOKUP($D195,Maschinenliste!$A$17:$AE$966,28,0)*$D201))</f>
        <v>#N/A</v>
      </c>
      <c r="F241" s="458" t="e">
        <f>IF(G214="heures (h)","","Fr. je heure")</f>
        <v>#N/A</v>
      </c>
      <c r="G241" s="468" t="e">
        <f>IF(G214="heures (h)","",IF(ISERROR(VLOOKUP($D195,Spez!$P$4:$P$44,1,0)),IF($C198="heures (h)","",IF($C198="hectares",G239*$D201/100,G239*$D201)),G239*VLOOKUP($D195,Maschinenliste!$A$17:$AE$966,28,0)*$D201))</f>
        <v>#N/A</v>
      </c>
      <c r="H241" s="465"/>
      <c r="I241" s="360" t="e">
        <f>IF(K198="heures (h)","","Tarif d'indemnisation (supp. compris) par heure")</f>
        <v>#N/A</v>
      </c>
      <c r="J241" s="360"/>
      <c r="K241" s="410" t="e">
        <f>IF(L214="heures (h)","","Fr. par heure")</f>
        <v>#N/A</v>
      </c>
      <c r="L241" s="468" t="e">
        <f>IF(L214="heures (h)","",IF(ISERROR(VLOOKUP($L195,Spez!$P$4:$P$44,1,0)),IF($K198="heures (h)","",IF($K198="hectares",L239*$L201/100,L239*$L201)),L239*VLOOKUP($L195,Maschinenliste!$A$17:$AE$966,28,0)*$L201))</f>
        <v>#N/A</v>
      </c>
      <c r="M241" s="458" t="e">
        <f>IF(N214="heures (h)","","Fr. je heure")</f>
        <v>#N/A</v>
      </c>
      <c r="N241" s="468" t="e">
        <f>IF(N214="heures (h)","",IF(ISERROR(VLOOKUP($L195,Spez!$P$4:$P$44,1,0)),IF($K198="heures (h)","",IF($K198="hectares",N239*$L201/100,N239*$L201)),N239*VLOOKUP($L195,Maschinenliste!$A$17:$AE$966,28,0)*$L201))</f>
        <v>#N/A</v>
      </c>
    </row>
    <row r="242" spans="1:14" ht="13.5" hidden="1" thickTop="1">
      <c r="A242" s="581"/>
      <c r="B242" s="368" t="s">
        <v>410</v>
      </c>
      <c r="C242" s="360"/>
      <c r="D242" s="362"/>
      <c r="E242" s="469" t="e">
        <f>IF(ISERROR(VLOOKUP($D195,Spez!$F$4:$F$87,1,0)),VLOOKUP($D195,Maschinenliste!$A$17:$AE$966,6,0)-E239,VLOOKUP($D195,Maschinenliste!$A$17:$AE$966,26,0)-E239)</f>
        <v>#N/A</v>
      </c>
      <c r="F242" s="470"/>
      <c r="G242" s="471" t="e">
        <f>IF(ISERROR(VLOOKUP($D195,Spez!$F$5:$F$87,1,0)),VLOOKUP($D195,Maschinenliste!$A$17:$AE$966,6,0)-G239,VLOOKUP($D195,Maschinenliste!$A$17:$AE$966,28,0)-G239)</f>
        <v>#N/A</v>
      </c>
      <c r="H242" s="472"/>
      <c r="I242" s="368" t="s">
        <v>410</v>
      </c>
      <c r="J242" s="360"/>
      <c r="K242" s="362"/>
      <c r="L242" s="469" t="e">
        <f>IF(ISERROR(VLOOKUP($L195,Spez!$F$4:$F$87,1,0)),VLOOKUP($L195,Maschinenliste!$A$17:$AE$966,6,0)-L239,VLOOKUP($L195,Maschinenliste!$A$17:$AE$966,26,0)-L239)</f>
        <v>#N/A</v>
      </c>
      <c r="M242" s="470"/>
      <c r="N242" s="471" t="e">
        <f>IF(ISERROR(VLOOKUP($L195,Spez!$F$5:$F$87,1,0)),VLOOKUP($L195,Maschinenliste!$A$17:$AE$966,6,0)-N239,VLOOKUP($L195,Maschinenliste!$A$17:$AE$966,28,0)-N239)</f>
        <v>#N/A</v>
      </c>
    </row>
    <row r="243" spans="1:14" ht="13.5" hidden="1" thickTop="1">
      <c r="A243" s="581"/>
      <c r="B243" s="368" t="s">
        <v>411</v>
      </c>
      <c r="C243" s="360"/>
      <c r="D243" s="362"/>
      <c r="E243" s="473" t="e">
        <f>IF(ISERROR(VLOOKUP($D195,Spez!$F$4:$F$87,1,0)),VLOOKUP($D195,Maschinenliste!$A$17:$AE$966,7,0)-E239,VLOOKUP($D195,Maschinenliste!$A$17:$AE$966,27,0)-E239)</f>
        <v>#N/A</v>
      </c>
      <c r="F243" s="470"/>
      <c r="G243" s="471" t="e">
        <f>IF(ISERROR(VLOOKUP($D195,Spez!$F$5:$F$87,1,0)),VLOOKUP($D195,Maschinenliste!$A$17:$AE$966,7,0)-G239,VLOOKUP($D195,Maschinenliste!$A$17:$AE$966,29,0)-G239)</f>
        <v>#N/A</v>
      </c>
      <c r="H243" s="472"/>
      <c r="I243" s="368" t="s">
        <v>411</v>
      </c>
      <c r="J243" s="360"/>
      <c r="K243" s="362"/>
      <c r="L243" s="473" t="e">
        <f>IF(ISERROR(VLOOKUP($L195,Spez!$F$4:$F$87,1,0)),VLOOKUP($L195,Maschinenliste!$A$17:$AE$966,7,0)-L239,VLOOKUP($L195,Maschinenliste!$A$17:$AE$966,27,0)-L239)</f>
        <v>#N/A</v>
      </c>
      <c r="M243" s="470"/>
      <c r="N243" s="471" t="e">
        <f>IF(ISERROR(VLOOKUP($L195,Spez!$F$5:$F$87,1,0)),VLOOKUP($L195,Maschinenliste!$A$17:$AE$966,7,0)-N239,VLOOKUP($L195,Maschinenliste!$A$17:$AE$966,29,0)-N239)</f>
        <v>#N/A</v>
      </c>
    </row>
    <row r="244" spans="1:14" ht="15.75" thickTop="1">
      <c r="A244" s="581"/>
      <c r="B244" s="368"/>
      <c r="C244" s="360"/>
      <c r="D244" s="362"/>
      <c r="E244" s="474"/>
      <c r="F244" s="475" t="e">
        <f>IF(F215*F214&gt;F216,"le degré d'utilisation dépasse 100% - veuillez corriger l'utilisation annuelle ou durée d'amortissement!","")</f>
        <v>#N/A</v>
      </c>
      <c r="I244" s="368"/>
      <c r="J244" s="360"/>
      <c r="K244" s="362"/>
      <c r="L244" s="474"/>
      <c r="M244" s="475" t="e">
        <f>IF(M215*M214&gt;M216,"le degré d'utilisation dépasse 100% - veuillez corriger l'utilisation annuelle ou durée d'amortissement!","")</f>
        <v>#N/A</v>
      </c>
      <c r="N244" s="363"/>
    </row>
    <row r="245" spans="1:14" ht="15.75">
      <c r="A245" s="581"/>
      <c r="B245" s="476" t="e">
        <f>IF(Hypothèses!$F$11&gt;0,"Les hypothèses générales ont été modifiées - le résultat (valeur par défaut) ne correspond pas à la valeur indicative officielle d’Agroscope.",IF(AND((OR(E242&gt;1,E242&lt;-1)),(OR(E243&gt;1,E243&lt;-1))),"ATTENTION - Vos données ne sont pas correctes","ok"))</f>
        <v>#N/A</v>
      </c>
      <c r="C245" s="360"/>
      <c r="D245" s="360"/>
      <c r="E245" s="477"/>
      <c r="F245" s="477"/>
      <c r="I245" s="476" t="e">
        <f>IF(Hypothèses!$F$11&gt;0,"Les hypothèses générales ont été modifiées - le résultat (valeur par défaut) ne correspond pas à la valeur indicative officielle d’Agroscope.",IF(AND((OR(L242&gt;1,L242&lt;-1)),(OR(L243&gt;1,L243&lt;-1))),"ATTENTION - Vos données ne sont pas correctes","ok"))</f>
        <v>#N/A</v>
      </c>
      <c r="J245" s="360"/>
      <c r="L245" s="477"/>
      <c r="M245" s="477"/>
      <c r="N245" s="363"/>
    </row>
    <row r="246" spans="1:13" ht="12.75">
      <c r="A246" s="581"/>
      <c r="B246" s="478" t="e">
        <f>IF(Hypothèses!$F$11&gt;0,"",IF(B245="ok","",IF(OR(E242&gt;1,E242&lt;-1),"Veuillez vérifier la puissance en kW ou la valeur résiduelle","ok")))</f>
        <v>#N/A</v>
      </c>
      <c r="C246" s="479"/>
      <c r="D246" s="360"/>
      <c r="E246" s="477"/>
      <c r="F246" s="477"/>
      <c r="G246" s="360"/>
      <c r="I246" s="478" t="e">
        <f>IF(Hypothèses!$F$11&gt;0,"",IF(I245="ok","",IF(OR(L242&gt;1,L242&lt;-1),"Veuillez vérifier la puissance en kW ou la valeur résiduelle","ok")))</f>
        <v>#N/A</v>
      </c>
      <c r="J246" s="479"/>
      <c r="L246" s="477"/>
      <c r="M246" s="477"/>
    </row>
    <row r="247" spans="1:14" ht="12.75">
      <c r="A247" s="581"/>
      <c r="B247" s="360" t="s">
        <v>1453</v>
      </c>
      <c r="C247" s="360"/>
      <c r="D247" s="360"/>
      <c r="E247" s="360"/>
      <c r="F247" s="360"/>
      <c r="G247" s="480" t="e">
        <f>(G239/E239)-1</f>
        <v>#N/A</v>
      </c>
      <c r="H247" s="481"/>
      <c r="I247" s="360" t="s">
        <v>1453</v>
      </c>
      <c r="J247" s="360"/>
      <c r="N247" s="480" t="e">
        <f>(N239/L239)-1</f>
        <v>#N/A</v>
      </c>
    </row>
    <row r="248" spans="1:7" ht="12.75">
      <c r="A248" s="581"/>
      <c r="B248" s="360"/>
      <c r="C248" s="360"/>
      <c r="D248" s="360"/>
      <c r="E248" s="360"/>
      <c r="F248" s="360"/>
      <c r="G248" s="360"/>
    </row>
    <row r="249" spans="1:7" ht="12.75">
      <c r="A249" s="581"/>
      <c r="B249" s="360"/>
      <c r="C249" s="360"/>
      <c r="D249" s="360"/>
      <c r="E249" s="360"/>
      <c r="F249" s="360"/>
      <c r="G249" s="360"/>
    </row>
    <row r="250" spans="1:7" ht="12.75">
      <c r="A250" s="581"/>
      <c r="B250" s="360" t="s">
        <v>906</v>
      </c>
      <c r="C250" s="360"/>
      <c r="D250" s="360"/>
      <c r="E250" s="360"/>
      <c r="F250" s="360"/>
      <c r="G250" s="360"/>
    </row>
    <row r="251" spans="1:7" ht="12.75">
      <c r="A251" s="581"/>
      <c r="B251" s="571" t="s">
        <v>907</v>
      </c>
      <c r="D251" s="360"/>
      <c r="E251" s="360"/>
      <c r="F251" s="360"/>
      <c r="G251" s="360"/>
    </row>
    <row r="252" spans="1:7" ht="12.75">
      <c r="A252" s="581"/>
      <c r="B252" s="360"/>
      <c r="C252" s="360"/>
      <c r="D252" s="360"/>
      <c r="E252" s="360"/>
      <c r="F252" s="360"/>
      <c r="G252" s="360"/>
    </row>
    <row r="253" spans="1:7" ht="12.75">
      <c r="A253" s="581"/>
      <c r="B253" s="360"/>
      <c r="C253" s="360"/>
      <c r="D253" s="360"/>
      <c r="E253" s="360"/>
      <c r="F253" s="360"/>
      <c r="G253" s="360"/>
    </row>
    <row r="254" spans="1:7" ht="12.75">
      <c r="A254" s="581"/>
      <c r="B254" s="360"/>
      <c r="C254" s="360"/>
      <c r="D254" s="360"/>
      <c r="E254" s="360"/>
      <c r="F254" s="360"/>
      <c r="G254" s="360"/>
    </row>
    <row r="255" spans="1:7" ht="12.75">
      <c r="A255" s="581"/>
      <c r="B255" s="360"/>
      <c r="C255" s="360"/>
      <c r="D255" s="360"/>
      <c r="E255" s="360"/>
      <c r="F255" s="360"/>
      <c r="G255" s="360"/>
    </row>
    <row r="256" spans="2:7" ht="12.75">
      <c r="B256" s="360"/>
      <c r="C256" s="360"/>
      <c r="D256" s="360"/>
      <c r="E256" s="360"/>
      <c r="F256" s="360"/>
      <c r="G256" s="360"/>
    </row>
    <row r="257" spans="2:7" ht="12.75">
      <c r="B257" s="360"/>
      <c r="C257" s="360"/>
      <c r="D257" s="360"/>
      <c r="E257" s="360"/>
      <c r="F257" s="360"/>
      <c r="G257" s="360"/>
    </row>
  </sheetData>
  <sheetProtection password="CAF9" sheet="1" formatColumns="0"/>
  <dataValidations count="10">
    <dataValidation allowBlank="1" showInputMessage="1" showErrorMessage="1" prompt="Darunter zählen zum Beispiel:&#10;Wegpauschaulen für längere Anfahrtszeiten; Rüstpauschalen für längere Rüstzeiten auf Hof und Feld." sqref="M38"/>
    <dataValidation type="list" allowBlank="1" showInputMessage="1" showErrorMessage="1" sqref="F27 M213 F153 M93 F93 M153 M27 F213">
      <formula1>$U$5:$U$6</formula1>
    </dataValidation>
    <dataValidation allowBlank="1" showInputMessage="1" showErrorMessage="1" prompt="Après combien d'années la machine est surannée? (Dépend du progrès technique)" sqref="F29"/>
    <dataValidation allowBlank="1" showInputMessage="1" showErrorMessage="1" prompt="Après combien d'unités de travail (h, ha, ch, bal etc.) la machine est abîmée? (durée d'utilisation technique à partir de laquelle les coûts de réparation sont disproportionnés). " sqref="F30"/>
    <dataValidation allowBlank="1" showInputMessage="1" showErrorMessage="1" prompt="Combien la valeur d'échange peut être estimer après la durée d'amortissment?" sqref="F33"/>
    <dataValidation allowBlank="1" showInputMessage="1" showErrorMessage="1" prompt="Quel travail est effectué? Travails avec un haut degrée de charge: p.e. charrue, chisel &gt; degré de charge = 60%; avec un bas degré de charge:   Semer, rouler, pirouette, andaineur, transports légers &gt; degré de charge = 20%. " sqref="F34"/>
    <dataValidation allowBlank="1" showInputMessage="1" showErrorMessage="1" prompt="Quelle es la fréquence d'utilisation? (approximation)&#10;Saisie en UT (heures, hectares, m3, charretées etc.) par an." sqref="F28"/>
    <dataValidation allowBlank="1" showInputMessage="1" showErrorMessage="1" prompt="Il faut élever cette valeur pour les machines d'occasion ou pour les machines qui sont déjà amortisées." sqref="F35"/>
    <dataValidation allowBlank="1" showInputMessage="1" showErrorMessage="1" prompt="Suppléments pour temps de trajet, pour la préparation de la machine sur la ferme ou sur le champ et pour l'administration." sqref="F38"/>
    <dataValidation type="list" allowBlank="1" showInputMessage="1" showErrorMessage="1" prompt="Sélectionnez une machine avec le code dans la feuille &quot;Maschinenliste&quot; ou dans le rapport ART. " sqref="L135 L195 L75 D135 D75 D9 D195 L9">
      <formula1>Code</formula1>
    </dataValidation>
  </dataValidations>
  <hyperlinks>
    <hyperlink ref="B251" location="résumé!A1" display="Résumé (Combinaison de machines avec opérateur)"/>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O146"/>
  <sheetViews>
    <sheetView showGridLines="0" zoomScalePageLayoutView="0" workbookViewId="0" topLeftCell="A1">
      <selection activeCell="F16" sqref="F16"/>
    </sheetView>
  </sheetViews>
  <sheetFormatPr defaultColWidth="11.421875" defaultRowHeight="12.75"/>
  <cols>
    <col min="1" max="1" width="2.28125" style="0" customWidth="1"/>
    <col min="2" max="2" width="29.8515625" style="0" customWidth="1"/>
    <col min="3" max="3" width="10.140625" style="0" customWidth="1"/>
    <col min="4" max="4" width="11.28125" style="0" customWidth="1"/>
    <col min="8" max="8" width="4.28125" style="293" customWidth="1"/>
    <col min="9" max="9" width="5.28125" style="270" customWidth="1"/>
    <col min="10" max="10" width="26.28125" style="0" customWidth="1"/>
    <col min="12" max="12" width="10.421875" style="230" customWidth="1"/>
    <col min="13" max="13" width="10.7109375" style="6" customWidth="1"/>
    <col min="14" max="14" width="11.140625" style="6" customWidth="1"/>
    <col min="15" max="15" width="10.8515625" style="6" customWidth="1"/>
    <col min="16" max="16384" width="11.421875" style="9" customWidth="1"/>
  </cols>
  <sheetData>
    <row r="1" spans="1:13" ht="27">
      <c r="A1" s="359" t="str">
        <f>'Calcul des machines'!A1</f>
        <v>TractoScope - Programme de calcul Coûts-machines</v>
      </c>
      <c r="B1" s="6"/>
      <c r="C1" s="6"/>
      <c r="D1" s="6"/>
      <c r="E1" s="6"/>
      <c r="F1" s="6"/>
      <c r="G1" s="6"/>
      <c r="H1" s="223"/>
      <c r="I1" s="223"/>
      <c r="J1" s="6"/>
      <c r="K1" s="6"/>
      <c r="L1" s="223"/>
      <c r="M1" s="223"/>
    </row>
    <row r="2" spans="1:13" ht="18">
      <c r="A2" s="229" t="str">
        <f>lire!A2</f>
        <v> (Agroscope - Institut des sciences en durabilité agronomique IDU, Tänikon - V. 5.1/2015)</v>
      </c>
      <c r="B2" s="6"/>
      <c r="C2" s="6"/>
      <c r="D2" s="6"/>
      <c r="E2" s="6"/>
      <c r="F2" s="6"/>
      <c r="G2" s="6"/>
      <c r="H2" s="223"/>
      <c r="I2" s="223"/>
      <c r="J2" s="6"/>
      <c r="K2" s="6"/>
      <c r="L2" s="223"/>
      <c r="M2" s="223"/>
    </row>
    <row r="3" spans="1:13" ht="18">
      <c r="A3" s="229"/>
      <c r="B3" s="6"/>
      <c r="C3" s="6"/>
      <c r="D3" s="6"/>
      <c r="E3" s="6"/>
      <c r="F3" s="6"/>
      <c r="G3" s="6"/>
      <c r="H3" s="223"/>
      <c r="I3" s="223"/>
      <c r="J3" s="6"/>
      <c r="K3" s="6"/>
      <c r="L3" s="223"/>
      <c r="M3" s="223"/>
    </row>
    <row r="4" spans="1:13" ht="18">
      <c r="A4" s="303" t="s">
        <v>72</v>
      </c>
      <c r="B4" s="6"/>
      <c r="C4" s="6"/>
      <c r="D4" s="6"/>
      <c r="E4" s="6"/>
      <c r="F4" s="6"/>
      <c r="G4" s="6"/>
      <c r="H4" s="223"/>
      <c r="I4" s="303" t="s">
        <v>946</v>
      </c>
      <c r="J4" s="224"/>
      <c r="K4" s="246"/>
      <c r="L4" s="223"/>
      <c r="M4" s="223"/>
    </row>
    <row r="5" spans="1:13" ht="18">
      <c r="A5" s="229"/>
      <c r="B5" s="6"/>
      <c r="C5" s="6"/>
      <c r="D5" s="6"/>
      <c r="E5" s="6"/>
      <c r="F5" s="224" t="s">
        <v>29</v>
      </c>
      <c r="G5" s="245">
        <f ca="1">NOW()</f>
        <v>42619.51013472222</v>
      </c>
      <c r="H5" s="223"/>
      <c r="I5" s="223"/>
      <c r="J5" s="6"/>
      <c r="K5" s="6"/>
      <c r="L5" s="223"/>
      <c r="M5" s="223"/>
    </row>
    <row r="6" spans="1:12" ht="18">
      <c r="A6" s="229"/>
      <c r="B6" s="6" t="s">
        <v>73</v>
      </c>
      <c r="C6" s="6"/>
      <c r="D6" s="6"/>
      <c r="E6" s="6"/>
      <c r="F6" s="6"/>
      <c r="G6" s="6"/>
      <c r="H6" s="223"/>
      <c r="I6" s="229"/>
      <c r="J6" s="6" t="s">
        <v>321</v>
      </c>
      <c r="K6" s="6"/>
      <c r="L6" s="6"/>
    </row>
    <row r="7" spans="1:12" ht="18">
      <c r="A7" s="229"/>
      <c r="B7" s="278" t="s">
        <v>942</v>
      </c>
      <c r="C7" s="249"/>
      <c r="D7" s="279"/>
      <c r="E7" s="6"/>
      <c r="F7" s="6"/>
      <c r="G7" s="6"/>
      <c r="H7" s="223"/>
      <c r="I7" s="229"/>
      <c r="J7" s="278" t="s">
        <v>942</v>
      </c>
      <c r="K7" s="249"/>
      <c r="L7" s="279"/>
    </row>
    <row r="8" spans="1:14" ht="18">
      <c r="A8" s="229"/>
      <c r="B8" s="247"/>
      <c r="C8" s="224" t="s">
        <v>1454</v>
      </c>
      <c r="D8" s="268">
        <f>IF(E$8="hectares",'Calcul des machines'!D81/100,'Calcul des machines'!D81)</f>
        <v>1.42</v>
      </c>
      <c r="E8" s="296" t="str">
        <f>IF(ISERROR(VLOOKUP('Calcul des machines'!D75,Spez!$O$4:$O$45,1,0)),'Calcul des machines'!C78,"Charretées")</f>
        <v>hectares</v>
      </c>
      <c r="F8" s="6" t="str">
        <f>'Calcul des machines'!F81</f>
        <v>par heure</v>
      </c>
      <c r="G8" s="6"/>
      <c r="H8" s="223"/>
      <c r="I8" s="229"/>
      <c r="J8" s="247"/>
      <c r="K8" s="224" t="s">
        <v>1454</v>
      </c>
      <c r="L8" s="268">
        <f>IF(M$8="hectares",'Calcul des machines'!L81/100,'Calcul des machines'!L81)</f>
        <v>1.3</v>
      </c>
      <c r="M8" s="296" t="str">
        <f>IF(ISERROR(VLOOKUP('Calcul des machines'!L75,Spez!$O$4:$O$45,1,0)),'Calcul des machines'!K78,"Charretées")</f>
        <v>charretées</v>
      </c>
      <c r="N8" s="6" t="str">
        <f>'Calcul des machines'!N81</f>
        <v>par heure</v>
      </c>
    </row>
    <row r="9" spans="1:15" ht="18">
      <c r="A9" s="229"/>
      <c r="B9" s="247"/>
      <c r="C9" s="224" t="s">
        <v>74</v>
      </c>
      <c r="D9" s="274"/>
      <c r="E9" s="224" t="str">
        <f>E8</f>
        <v>hectares</v>
      </c>
      <c r="F9" s="6" t="str">
        <f>F8</f>
        <v>par heure</v>
      </c>
      <c r="G9" s="234"/>
      <c r="H9" s="350"/>
      <c r="I9" s="229"/>
      <c r="J9" s="247"/>
      <c r="K9" s="224" t="s">
        <v>74</v>
      </c>
      <c r="L9" s="274"/>
      <c r="M9" s="224" t="str">
        <f>M8</f>
        <v>charretées</v>
      </c>
      <c r="N9" s="6" t="str">
        <f>N8</f>
        <v>par heure</v>
      </c>
      <c r="O9" s="234"/>
    </row>
    <row r="10" spans="1:14" ht="18">
      <c r="A10" s="229"/>
      <c r="B10" s="224"/>
      <c r="C10" s="224" t="s">
        <v>75</v>
      </c>
      <c r="D10" s="356">
        <f>IF(LEN(D9)&gt;0,D9,D8)</f>
        <v>1.42</v>
      </c>
      <c r="E10" s="224" t="str">
        <f>E8</f>
        <v>hectares</v>
      </c>
      <c r="F10" s="6" t="str">
        <f>F8</f>
        <v>par heure</v>
      </c>
      <c r="G10" s="6"/>
      <c r="H10" s="223"/>
      <c r="I10" s="229"/>
      <c r="J10" s="224"/>
      <c r="K10" s="224" t="s">
        <v>75</v>
      </c>
      <c r="L10" s="356">
        <f>IF(LEN(L9)&gt;0,L9,L8)</f>
        <v>1.3</v>
      </c>
      <c r="M10" s="224" t="str">
        <f>M8</f>
        <v>charretées</v>
      </c>
      <c r="N10" s="6" t="str">
        <f>N8</f>
        <v>par heure</v>
      </c>
    </row>
    <row r="11" spans="1:15" ht="18.75" thickBot="1">
      <c r="A11" s="337"/>
      <c r="B11" s="338"/>
      <c r="C11" s="339"/>
      <c r="D11" s="331"/>
      <c r="E11" s="338"/>
      <c r="F11" s="292"/>
      <c r="G11" s="292"/>
      <c r="I11" s="337"/>
      <c r="J11" s="338"/>
      <c r="K11" s="339"/>
      <c r="L11" s="331"/>
      <c r="M11" s="338"/>
      <c r="N11" s="292"/>
      <c r="O11" s="292"/>
    </row>
    <row r="12" spans="1:15" ht="18.75" thickBot="1">
      <c r="A12" s="320"/>
      <c r="B12" s="328" t="s">
        <v>76</v>
      </c>
      <c r="C12" s="321"/>
      <c r="D12" s="322"/>
      <c r="E12" s="321"/>
      <c r="F12" s="297"/>
      <c r="G12" s="228"/>
      <c r="I12" s="320"/>
      <c r="J12" s="328" t="s">
        <v>76</v>
      </c>
      <c r="K12" s="321"/>
      <c r="L12" s="322"/>
      <c r="M12" s="321"/>
      <c r="N12" s="297"/>
      <c r="O12" s="228"/>
    </row>
    <row r="13" spans="1:15" ht="18">
      <c r="A13" s="323"/>
      <c r="B13" s="248"/>
      <c r="C13" s="248"/>
      <c r="D13" s="250" t="s">
        <v>1455</v>
      </c>
      <c r="E13" s="228"/>
      <c r="F13" s="310" t="s">
        <v>2</v>
      </c>
      <c r="G13" s="311"/>
      <c r="I13" s="323"/>
      <c r="J13" s="248"/>
      <c r="K13" s="248"/>
      <c r="L13" s="250" t="s">
        <v>1455</v>
      </c>
      <c r="M13" s="228"/>
      <c r="N13" s="310" t="s">
        <v>2</v>
      </c>
      <c r="O13" s="311"/>
    </row>
    <row r="14" spans="1:15" ht="18.75" thickBot="1">
      <c r="A14" s="323"/>
      <c r="B14" s="248"/>
      <c r="C14" s="248" t="s">
        <v>77</v>
      </c>
      <c r="D14" s="264" t="s">
        <v>3</v>
      </c>
      <c r="E14" s="265" t="str">
        <f>$E$8</f>
        <v>hectares</v>
      </c>
      <c r="F14" s="264" t="s">
        <v>3</v>
      </c>
      <c r="G14" s="265" t="str">
        <f>E14</f>
        <v>hectares</v>
      </c>
      <c r="H14" s="306"/>
      <c r="I14" s="323"/>
      <c r="J14" s="248"/>
      <c r="K14" s="248" t="s">
        <v>77</v>
      </c>
      <c r="L14" s="264" t="s">
        <v>3</v>
      </c>
      <c r="M14" s="265" t="str">
        <f>$M$8</f>
        <v>charretées</v>
      </c>
      <c r="N14" s="264" t="s">
        <v>3</v>
      </c>
      <c r="O14" s="265" t="str">
        <f>M14</f>
        <v>charretées</v>
      </c>
    </row>
    <row r="15" spans="1:15" ht="18">
      <c r="A15" s="323"/>
      <c r="B15" s="248"/>
      <c r="C15" s="248" t="s">
        <v>78</v>
      </c>
      <c r="D15" s="266"/>
      <c r="E15" s="313">
        <f>IF(E14="heures (h)",E55+E67+E79,0)</f>
        <v>0</v>
      </c>
      <c r="F15" s="266"/>
      <c r="G15" s="313">
        <f>IF(G14="heures (h)",G55+G67+G79,0)</f>
        <v>0</v>
      </c>
      <c r="H15" s="294"/>
      <c r="I15" s="323"/>
      <c r="J15" s="248"/>
      <c r="K15" s="248" t="s">
        <v>78</v>
      </c>
      <c r="L15" s="266"/>
      <c r="M15" s="313">
        <f>IF(M14="heures (h)",M55+M67+M79,0)</f>
        <v>0</v>
      </c>
      <c r="N15" s="266"/>
      <c r="O15" s="313">
        <f>IF(O14="heures (h)",O55+O67+O79,0)</f>
        <v>0</v>
      </c>
    </row>
    <row r="16" spans="1:15" ht="18">
      <c r="A16" s="323"/>
      <c r="B16" s="248"/>
      <c r="C16" s="324" t="s">
        <v>79</v>
      </c>
      <c r="D16" s="312">
        <f>D29+D41+D55+D67+D79+E15</f>
        <v>181.79009206349207</v>
      </c>
      <c r="E16" s="314">
        <f>IF(E14="heures (h)",0,E29+E41+E55+E67+E79)</f>
        <v>128.0211915940085</v>
      </c>
      <c r="F16" s="312">
        <f>F29+F41+F55+F67+F79+G15</f>
        <v>181.79009206349207</v>
      </c>
      <c r="G16" s="314">
        <f>IF(G14="heures (h)",0,G29+G41+G55+G67+G79)</f>
        <v>128.0211915940085</v>
      </c>
      <c r="H16" s="307"/>
      <c r="I16" s="323"/>
      <c r="J16" s="248"/>
      <c r="K16" s="324" t="s">
        <v>79</v>
      </c>
      <c r="L16" s="312">
        <f>L29+L41+L55+L67+L79+M15</f>
        <v>115.07578</v>
      </c>
      <c r="M16" s="314">
        <f>IF(M14="heures (h)",0,M29+M41+M55+M67+M79)</f>
        <v>88.51983076923077</v>
      </c>
      <c r="N16" s="312">
        <f>N29+N41+N55+N67+N79+O15</f>
        <v>115.07578</v>
      </c>
      <c r="O16" s="314">
        <f>IF(O14="heures (h)",0,O29+O41+O55+O67+O79)</f>
        <v>88.51983076923077</v>
      </c>
    </row>
    <row r="17" spans="1:15" ht="18">
      <c r="A17" s="323"/>
      <c r="B17" s="248"/>
      <c r="C17" s="248" t="s">
        <v>0</v>
      </c>
      <c r="D17" s="315"/>
      <c r="E17" s="316"/>
      <c r="F17" s="315"/>
      <c r="G17" s="316"/>
      <c r="H17" s="319"/>
      <c r="I17" s="323"/>
      <c r="J17" s="248"/>
      <c r="K17" s="248" t="s">
        <v>0</v>
      </c>
      <c r="L17" s="315"/>
      <c r="M17" s="316"/>
      <c r="N17" s="315"/>
      <c r="O17" s="316"/>
    </row>
    <row r="18" spans="1:15" ht="18.75" thickBot="1">
      <c r="A18" s="323"/>
      <c r="B18" s="248"/>
      <c r="C18" s="248" t="s">
        <v>1</v>
      </c>
      <c r="D18" s="317">
        <f>D16+D17</f>
        <v>181.79009206349207</v>
      </c>
      <c r="E18" s="318">
        <f>E16+E17</f>
        <v>128.0211915940085</v>
      </c>
      <c r="F18" s="317">
        <f>F16+F17</f>
        <v>181.79009206349207</v>
      </c>
      <c r="G18" s="357">
        <f>G16+G17</f>
        <v>128.0211915940085</v>
      </c>
      <c r="H18" s="308"/>
      <c r="I18" s="323"/>
      <c r="J18" s="248"/>
      <c r="K18" s="248" t="s">
        <v>1</v>
      </c>
      <c r="L18" s="317">
        <f>L16+L17</f>
        <v>115.07578</v>
      </c>
      <c r="M18" s="318">
        <f>M16+M17</f>
        <v>88.51983076923077</v>
      </c>
      <c r="N18" s="317">
        <f>N16+N17</f>
        <v>115.07578</v>
      </c>
      <c r="O18" s="318">
        <f>O16+O17</f>
        <v>88.51983076923077</v>
      </c>
    </row>
    <row r="19" spans="1:15" ht="18.75" thickBot="1">
      <c r="A19" s="325"/>
      <c r="B19" s="326"/>
      <c r="C19" s="326"/>
      <c r="D19" s="327"/>
      <c r="E19" s="326"/>
      <c r="F19" s="280"/>
      <c r="G19" s="291"/>
      <c r="I19" s="325"/>
      <c r="J19" s="326"/>
      <c r="K19" s="326"/>
      <c r="L19" s="327"/>
      <c r="M19" s="326"/>
      <c r="N19" s="280"/>
      <c r="O19" s="291"/>
    </row>
    <row r="20" spans="1:15" ht="16.5" customHeight="1" thickBot="1">
      <c r="A20" s="329"/>
      <c r="B20" s="330"/>
      <c r="C20" s="330"/>
      <c r="D20" s="306"/>
      <c r="E20" s="330"/>
      <c r="F20" s="293"/>
      <c r="G20" s="293"/>
      <c r="I20" s="329"/>
      <c r="J20" s="330"/>
      <c r="K20" s="330"/>
      <c r="L20" s="306"/>
      <c r="M20" s="330"/>
      <c r="N20" s="293"/>
      <c r="O20" s="293"/>
    </row>
    <row r="21" spans="1:15" ht="18">
      <c r="A21" s="320" t="s">
        <v>4</v>
      </c>
      <c r="B21" s="349"/>
      <c r="C21" s="321" t="s">
        <v>5</v>
      </c>
      <c r="D21" s="332">
        <v>1</v>
      </c>
      <c r="E21" s="583" t="s">
        <v>943</v>
      </c>
      <c r="F21" s="297"/>
      <c r="G21" s="228"/>
      <c r="I21" s="320" t="s">
        <v>4</v>
      </c>
      <c r="J21" s="349"/>
      <c r="K21" s="321" t="s">
        <v>5</v>
      </c>
      <c r="L21" s="332">
        <v>1</v>
      </c>
      <c r="M21" s="583" t="s">
        <v>943</v>
      </c>
      <c r="N21" s="297"/>
      <c r="O21" s="228"/>
    </row>
    <row r="22" spans="1:15" ht="18.75" thickBot="1">
      <c r="A22" s="323"/>
      <c r="B22" s="248"/>
      <c r="C22" s="248"/>
      <c r="D22" s="233"/>
      <c r="E22" s="248"/>
      <c r="F22" s="223"/>
      <c r="G22" s="226"/>
      <c r="I22" s="323"/>
      <c r="J22" s="248"/>
      <c r="K22" s="248"/>
      <c r="L22" s="233"/>
      <c r="M22" s="248"/>
      <c r="N22" s="223"/>
      <c r="O22" s="226"/>
    </row>
    <row r="23" spans="1:15" ht="12.75">
      <c r="A23" s="239"/>
      <c r="B23" s="248"/>
      <c r="C23" s="248"/>
      <c r="D23" s="250" t="str">
        <f>D$13</f>
        <v>Valeur indicative Agroscope</v>
      </c>
      <c r="E23" s="297"/>
      <c r="F23" s="310" t="str">
        <f>F$13</f>
        <v>Variante personnelle</v>
      </c>
      <c r="G23" s="311"/>
      <c r="I23" s="239"/>
      <c r="J23" s="248"/>
      <c r="K23" s="248"/>
      <c r="L23" s="250" t="str">
        <f>L$13</f>
        <v>Valeur indicative Agroscope</v>
      </c>
      <c r="M23" s="297"/>
      <c r="N23" s="310" t="str">
        <f>N$13</f>
        <v>Variante personnelle</v>
      </c>
      <c r="O23" s="311"/>
    </row>
    <row r="24" spans="1:15" ht="18">
      <c r="A24" s="323"/>
      <c r="B24" s="248"/>
      <c r="C24" s="248" t="s">
        <v>37</v>
      </c>
      <c r="D24" s="251" t="str">
        <f>D$14</f>
        <v>Heure</v>
      </c>
      <c r="E24" s="225" t="str">
        <f>E$14</f>
        <v>hectares</v>
      </c>
      <c r="F24" s="251" t="str">
        <f>F$14</f>
        <v>Heure</v>
      </c>
      <c r="G24" s="252" t="str">
        <f>G$14</f>
        <v>hectares</v>
      </c>
      <c r="H24" s="306"/>
      <c r="I24" s="323"/>
      <c r="J24" s="248"/>
      <c r="K24" s="248" t="s">
        <v>37</v>
      </c>
      <c r="L24" s="251" t="str">
        <f>L$14</f>
        <v>Heure</v>
      </c>
      <c r="M24" s="225" t="str">
        <f>M$14</f>
        <v>charretées</v>
      </c>
      <c r="N24" s="251" t="str">
        <f>N$14</f>
        <v>Heure</v>
      </c>
      <c r="O24" s="252" t="str">
        <f>O$14</f>
        <v>charretées</v>
      </c>
    </row>
    <row r="25" spans="1:15" ht="12.75">
      <c r="A25" s="333">
        <v>1</v>
      </c>
      <c r="B25" s="248"/>
      <c r="C25" s="248" t="s">
        <v>6</v>
      </c>
      <c r="D25" s="259">
        <v>28</v>
      </c>
      <c r="E25" s="304">
        <f>IF(E$24="heures (h)","",D25/$D$10)</f>
        <v>19.71830985915493</v>
      </c>
      <c r="F25" s="584">
        <f>D25</f>
        <v>28</v>
      </c>
      <c r="G25" s="260">
        <f>IF(G$24="heures (h)","",F25/$D$10)</f>
        <v>19.71830985915493</v>
      </c>
      <c r="H25" s="309"/>
      <c r="I25" s="568">
        <v>1</v>
      </c>
      <c r="J25" s="248"/>
      <c r="K25" s="248" t="s">
        <v>6</v>
      </c>
      <c r="L25" s="259">
        <v>28</v>
      </c>
      <c r="M25" s="304">
        <f>IF(M$24="heures (h)","",L25/$L$10)</f>
        <v>21.538461538461537</v>
      </c>
      <c r="N25" s="584">
        <f>L25</f>
        <v>28</v>
      </c>
      <c r="O25" s="260">
        <f>IF(O$24="heures (h)","",N25/$L$10)</f>
        <v>21.538461538461537</v>
      </c>
    </row>
    <row r="26" spans="1:15" ht="12.75">
      <c r="A26" s="333">
        <v>2</v>
      </c>
      <c r="B26" s="248"/>
      <c r="C26" s="248" t="s">
        <v>7</v>
      </c>
      <c r="D26" s="259">
        <v>48</v>
      </c>
      <c r="E26" s="304">
        <f>IF(E$24="heures (h)","",D26/$D$10)</f>
        <v>33.802816901408455</v>
      </c>
      <c r="F26" s="584">
        <f>D26</f>
        <v>48</v>
      </c>
      <c r="G26" s="260">
        <f>IF(G$24="heures (h)","",F26/$D$10)</f>
        <v>33.802816901408455</v>
      </c>
      <c r="H26" s="309"/>
      <c r="I26" s="568">
        <v>2</v>
      </c>
      <c r="J26" s="248"/>
      <c r="K26" s="248" t="s">
        <v>7</v>
      </c>
      <c r="L26" s="259">
        <v>48</v>
      </c>
      <c r="M26" s="304">
        <f>IF(M$24="heures (h)","",L26/$L$10)</f>
        <v>36.92307692307692</v>
      </c>
      <c r="N26" s="584">
        <f>L26</f>
        <v>48</v>
      </c>
      <c r="O26" s="260">
        <f>IF(O$24="heures (h)","",N26/$L$10)</f>
        <v>36.92307692307692</v>
      </c>
    </row>
    <row r="27" spans="1:15" ht="13.5" thickBot="1">
      <c r="A27" s="333">
        <v>3</v>
      </c>
      <c r="B27" s="248"/>
      <c r="C27" s="248" t="s">
        <v>8</v>
      </c>
      <c r="D27" s="261">
        <v>64</v>
      </c>
      <c r="E27" s="305">
        <f>IF(E$24="heures (h)","",D27/$D$10)</f>
        <v>45.07042253521127</v>
      </c>
      <c r="F27" s="585">
        <f>D27</f>
        <v>64</v>
      </c>
      <c r="G27" s="262">
        <f>IF(G$24="heures (h)","",F27/$D$10)</f>
        <v>45.07042253521127</v>
      </c>
      <c r="H27" s="309"/>
      <c r="I27" s="568">
        <v>3</v>
      </c>
      <c r="J27" s="248"/>
      <c r="K27" s="248" t="s">
        <v>8</v>
      </c>
      <c r="L27" s="261">
        <v>64</v>
      </c>
      <c r="M27" s="305">
        <f>IF(M$24="heures (h)","",L27/$L$10)</f>
        <v>49.230769230769226</v>
      </c>
      <c r="N27" s="585">
        <f>L27</f>
        <v>64</v>
      </c>
      <c r="O27" s="262">
        <f>IF(O$24="heures (h)","",N27/$L$10)</f>
        <v>49.230769230769226</v>
      </c>
    </row>
    <row r="28" spans="1:15" ht="18.75" thickBot="1">
      <c r="A28" s="323"/>
      <c r="B28" s="248"/>
      <c r="C28" s="248"/>
      <c r="D28" s="233"/>
      <c r="E28" s="248"/>
      <c r="F28" s="223"/>
      <c r="G28" s="226"/>
      <c r="I28" s="323"/>
      <c r="J28" s="248"/>
      <c r="K28" s="248"/>
      <c r="L28" s="233"/>
      <c r="M28" s="248"/>
      <c r="N28" s="223"/>
      <c r="O28" s="226"/>
    </row>
    <row r="29" spans="1:15" ht="18.75" thickBot="1">
      <c r="A29" s="323"/>
      <c r="B29" s="248"/>
      <c r="C29" s="281"/>
      <c r="D29" s="263">
        <f>VLOOKUP(D$21,$A$25:$G$27,4,0)</f>
        <v>28</v>
      </c>
      <c r="E29" s="263">
        <f>VLOOKUP(D$21,$A$25:$G$27,5,0)</f>
        <v>19.71830985915493</v>
      </c>
      <c r="F29" s="263">
        <f>VLOOKUP(D$21,$A$25:$G$27,6,0)</f>
        <v>28</v>
      </c>
      <c r="G29" s="269">
        <f>VLOOKUP(D$21,$A$25:$G$27,7,0)</f>
        <v>19.71830985915493</v>
      </c>
      <c r="H29" s="295"/>
      <c r="I29" s="323"/>
      <c r="J29" s="248"/>
      <c r="K29" s="281"/>
      <c r="L29" s="263">
        <f>VLOOKUP(L$21,$I$25:$O$27,4,0)</f>
        <v>28</v>
      </c>
      <c r="M29" s="263">
        <f>VLOOKUP(L$21,$I$25:$O$27,5,0)</f>
        <v>21.538461538461537</v>
      </c>
      <c r="N29" s="263">
        <f>VLOOKUP(L$21,$I$25:$O$27,6,0)</f>
        <v>28</v>
      </c>
      <c r="O29" s="269">
        <f>VLOOKUP(L$21,$I$25:$O$27,7,0)</f>
        <v>21.538461538461537</v>
      </c>
    </row>
    <row r="30" spans="1:15" ht="18.75" thickBot="1">
      <c r="A30" s="325"/>
      <c r="B30" s="334"/>
      <c r="C30" s="280"/>
      <c r="D30" s="280"/>
      <c r="E30" s="280"/>
      <c r="F30" s="280"/>
      <c r="G30" s="291"/>
      <c r="I30" s="325"/>
      <c r="J30" s="334"/>
      <c r="K30" s="280"/>
      <c r="L30" s="280"/>
      <c r="M30" s="280"/>
      <c r="N30" s="280"/>
      <c r="O30" s="291"/>
    </row>
    <row r="31" spans="1:15" ht="18.75" thickBot="1">
      <c r="A31" s="329"/>
      <c r="B31" s="335"/>
      <c r="C31" s="293"/>
      <c r="D31" s="293"/>
      <c r="E31" s="293"/>
      <c r="F31" s="293"/>
      <c r="G31" s="293"/>
      <c r="I31" s="329"/>
      <c r="J31" s="335"/>
      <c r="K31" s="293"/>
      <c r="L31" s="293"/>
      <c r="M31" s="293"/>
      <c r="N31" s="293"/>
      <c r="O31" s="293"/>
    </row>
    <row r="32" spans="1:15" ht="18">
      <c r="A32" s="320" t="s">
        <v>9</v>
      </c>
      <c r="B32" s="297"/>
      <c r="C32" s="297"/>
      <c r="D32" s="297"/>
      <c r="E32" s="297"/>
      <c r="F32" s="297"/>
      <c r="G32" s="228"/>
      <c r="I32" s="320" t="s">
        <v>944</v>
      </c>
      <c r="J32" s="297"/>
      <c r="K32" s="297"/>
      <c r="L32" s="297"/>
      <c r="M32" s="297"/>
      <c r="N32" s="297"/>
      <c r="O32" s="228"/>
    </row>
    <row r="33" spans="1:15" ht="15.75">
      <c r="A33" s="340">
        <f>'Calcul des machines'!B9</f>
        <v>0</v>
      </c>
      <c r="B33" s="240"/>
      <c r="C33" s="241"/>
      <c r="D33" s="242"/>
      <c r="E33" s="243"/>
      <c r="F33" s="223"/>
      <c r="G33" s="226"/>
      <c r="I33" s="340">
        <f>'Calcul des machines'!I9</f>
        <v>0</v>
      </c>
      <c r="J33" s="240"/>
      <c r="K33" s="241"/>
      <c r="L33" s="242"/>
      <c r="M33" s="243"/>
      <c r="N33" s="223"/>
      <c r="O33" s="226"/>
    </row>
    <row r="34" spans="1:15" ht="15.75">
      <c r="A34" s="341"/>
      <c r="B34" s="238" t="str">
        <f>'Calcul des machines'!B10</f>
        <v>Tracteur 65-74 kW  (88-101 ch)</v>
      </c>
      <c r="C34" s="222"/>
      <c r="D34" s="676">
        <f>IF('Calcul des machines'!G12&gt;0,"avec roues jumelées","")</f>
      </c>
      <c r="E34" s="132"/>
      <c r="F34" s="223"/>
      <c r="G34" s="226"/>
      <c r="I34" s="341"/>
      <c r="J34" s="238" t="str">
        <f>'Calcul des machines'!I10</f>
        <v>Tracteur  90-104 kW  (122-142 ch)</v>
      </c>
      <c r="K34" s="222"/>
      <c r="L34" s="244"/>
      <c r="M34" s="132"/>
      <c r="N34" s="223"/>
      <c r="O34" s="226"/>
    </row>
    <row r="35" spans="1:15" ht="13.5" thickBot="1">
      <c r="A35" s="227"/>
      <c r="B35" s="270"/>
      <c r="C35" s="223"/>
      <c r="D35" s="233"/>
      <c r="E35" s="223"/>
      <c r="F35" s="223"/>
      <c r="G35" s="226"/>
      <c r="I35" s="227"/>
      <c r="J35" s="270"/>
      <c r="K35" s="223"/>
      <c r="L35" s="233"/>
      <c r="M35" s="223"/>
      <c r="N35" s="223"/>
      <c r="O35" s="226"/>
    </row>
    <row r="36" spans="1:15" ht="15.75">
      <c r="A36" s="227"/>
      <c r="B36" s="247"/>
      <c r="C36" s="223"/>
      <c r="D36" s="250" t="str">
        <f>D13</f>
        <v>Valeur indicative Agroscope</v>
      </c>
      <c r="E36" s="228"/>
      <c r="F36" s="310" t="str">
        <f>F13</f>
        <v>Variante personnelle</v>
      </c>
      <c r="G36" s="311"/>
      <c r="I36" s="227"/>
      <c r="J36" s="247"/>
      <c r="K36" s="223"/>
      <c r="L36" s="250" t="str">
        <f>L$13</f>
        <v>Valeur indicative Agroscope</v>
      </c>
      <c r="M36" s="297"/>
      <c r="N36" s="310" t="str">
        <f>N$13</f>
        <v>Variante personnelle</v>
      </c>
      <c r="O36" s="311"/>
    </row>
    <row r="37" spans="1:15" ht="15.75">
      <c r="A37" s="227"/>
      <c r="B37" s="247"/>
      <c r="C37" s="248" t="s">
        <v>77</v>
      </c>
      <c r="D37" s="251" t="str">
        <f>D$14</f>
        <v>Heure</v>
      </c>
      <c r="E37" s="225" t="str">
        <f>E$14</f>
        <v>hectares</v>
      </c>
      <c r="F37" s="251" t="str">
        <f>F$14</f>
        <v>Heure</v>
      </c>
      <c r="G37" s="252" t="str">
        <f>G$14</f>
        <v>hectares</v>
      </c>
      <c r="H37" s="306"/>
      <c r="I37" s="227"/>
      <c r="J37" s="247"/>
      <c r="K37" s="248" t="s">
        <v>77</v>
      </c>
      <c r="L37" s="251" t="str">
        <f>L$14</f>
        <v>Heure</v>
      </c>
      <c r="M37" s="225" t="str">
        <f>M$14</f>
        <v>charretées</v>
      </c>
      <c r="N37" s="251" t="str">
        <f>N$14</f>
        <v>Heure</v>
      </c>
      <c r="O37" s="252" t="str">
        <f>O$14</f>
        <v>charretées</v>
      </c>
    </row>
    <row r="38" spans="1:15" ht="15.75">
      <c r="A38" s="227"/>
      <c r="B38" s="247"/>
      <c r="C38" s="248" t="s">
        <v>10</v>
      </c>
      <c r="D38" s="253">
        <f>'Calcul des machines'!E45</f>
        <v>18.68888888888889</v>
      </c>
      <c r="E38" s="254"/>
      <c r="F38" s="253">
        <f>'Calcul des machines'!G45</f>
        <v>18.68888888888889</v>
      </c>
      <c r="G38" s="254"/>
      <c r="I38" s="227"/>
      <c r="J38" s="247"/>
      <c r="K38" s="248" t="s">
        <v>10</v>
      </c>
      <c r="L38" s="253">
        <f>'Calcul des machines'!L45</f>
        <v>24.854</v>
      </c>
      <c r="M38" s="254"/>
      <c r="N38" s="253">
        <f>'Calcul des machines'!N45</f>
        <v>24.854</v>
      </c>
      <c r="O38" s="254"/>
    </row>
    <row r="39" spans="1:15" ht="15.75">
      <c r="A39" s="227"/>
      <c r="B39" s="247"/>
      <c r="C39" s="248" t="s">
        <v>11</v>
      </c>
      <c r="D39" s="253">
        <f>'Calcul des machines'!E50</f>
        <v>17.298000000000002</v>
      </c>
      <c r="E39" s="254"/>
      <c r="F39" s="253">
        <f>'Calcul des machines'!G50</f>
        <v>17.298000000000002</v>
      </c>
      <c r="G39" s="254"/>
      <c r="I39" s="227"/>
      <c r="J39" s="247"/>
      <c r="K39" s="248" t="s">
        <v>11</v>
      </c>
      <c r="L39" s="253">
        <f>'Calcul des machines'!L50</f>
        <v>23.365799999999997</v>
      </c>
      <c r="M39" s="254"/>
      <c r="N39" s="253">
        <f>'Calcul des machines'!N50</f>
        <v>23.365799999999997</v>
      </c>
      <c r="O39" s="254"/>
    </row>
    <row r="40" spans="1:15" ht="15.75">
      <c r="A40" s="227"/>
      <c r="B40" s="247"/>
      <c r="C40" s="248" t="s">
        <v>12</v>
      </c>
      <c r="D40" s="255">
        <f>'Calcul des machines'!E52</f>
        <v>35.98688888888889</v>
      </c>
      <c r="E40" s="254"/>
      <c r="F40" s="255">
        <f>'Calcul des machines'!G52</f>
        <v>35.98688888888889</v>
      </c>
      <c r="G40" s="254"/>
      <c r="I40" s="227"/>
      <c r="J40" s="247"/>
      <c r="K40" s="248" t="s">
        <v>12</v>
      </c>
      <c r="L40" s="255">
        <f>'Calcul des machines'!L52</f>
        <v>48.21979999999999</v>
      </c>
      <c r="M40" s="254"/>
      <c r="N40" s="255">
        <f>'Calcul des machines'!N52</f>
        <v>48.21979999999999</v>
      </c>
      <c r="O40" s="254"/>
    </row>
    <row r="41" spans="1:15" ht="16.5" thickBot="1">
      <c r="A41" s="227"/>
      <c r="B41" s="247"/>
      <c r="C41" s="281" t="s">
        <v>65</v>
      </c>
      <c r="D41" s="271">
        <f>'Calcul des machines'!E53</f>
        <v>39.585577777777786</v>
      </c>
      <c r="E41" s="272">
        <f>IF(E37="heures (h)","",D41/D10)</f>
        <v>27.877167449139286</v>
      </c>
      <c r="F41" s="271">
        <f>'Calcul des machines'!G53</f>
        <v>39.585577777777786</v>
      </c>
      <c r="G41" s="272">
        <f>IF(G37="heures (h)","",F41/D10)</f>
        <v>27.877167449139286</v>
      </c>
      <c r="H41" s="295"/>
      <c r="I41" s="227"/>
      <c r="J41" s="247"/>
      <c r="K41" s="281" t="s">
        <v>65</v>
      </c>
      <c r="L41" s="271">
        <f>'Calcul des machines'!L53</f>
        <v>53.041779999999996</v>
      </c>
      <c r="M41" s="272">
        <f>IF(M37="heures (h)","",L41/L10)</f>
        <v>40.801369230769225</v>
      </c>
      <c r="N41" s="271">
        <f>'Calcul des machines'!N53</f>
        <v>53.041779999999996</v>
      </c>
      <c r="O41" s="272">
        <f>IF(O37="heures (h)","",N41/L10)</f>
        <v>40.801369230769225</v>
      </c>
    </row>
    <row r="42" spans="1:15" ht="16.5" thickBot="1">
      <c r="A42" s="342"/>
      <c r="B42" s="343"/>
      <c r="C42" s="326"/>
      <c r="D42" s="344"/>
      <c r="E42" s="344"/>
      <c r="F42" s="344"/>
      <c r="G42" s="345"/>
      <c r="H42" s="295"/>
      <c r="I42" s="342"/>
      <c r="J42" s="343"/>
      <c r="K42" s="326"/>
      <c r="L42" s="344"/>
      <c r="M42" s="344"/>
      <c r="N42" s="344"/>
      <c r="O42" s="345"/>
    </row>
    <row r="43" spans="1:15" s="589" customFormat="1" ht="15.75">
      <c r="A43" s="293"/>
      <c r="B43" s="336"/>
      <c r="C43" s="293"/>
      <c r="D43" s="306"/>
      <c r="E43" s="293"/>
      <c r="F43" s="293"/>
      <c r="G43" s="293"/>
      <c r="H43" s="293"/>
      <c r="I43" s="293"/>
      <c r="J43" s="336"/>
      <c r="K43" s="293"/>
      <c r="L43" s="306"/>
      <c r="M43" s="293"/>
      <c r="N43" s="293"/>
      <c r="O43" s="293"/>
    </row>
    <row r="44" spans="1:15" s="589" customFormat="1" ht="15.75">
      <c r="A44" s="351" t="s">
        <v>13</v>
      </c>
      <c r="B44" s="247"/>
      <c r="C44" s="223"/>
      <c r="D44" s="233"/>
      <c r="E44" s="223"/>
      <c r="F44" s="223"/>
      <c r="G44" s="223"/>
      <c r="H44" s="351" t="s">
        <v>13</v>
      </c>
      <c r="I44" s="223"/>
      <c r="J44" s="247"/>
      <c r="K44" s="223"/>
      <c r="L44" s="233"/>
      <c r="M44" s="223"/>
      <c r="N44" s="223"/>
      <c r="O44" s="223"/>
    </row>
    <row r="45" spans="1:15" s="589" customFormat="1" ht="16.5" thickBot="1">
      <c r="A45" s="293"/>
      <c r="B45" s="336"/>
      <c r="C45" s="293"/>
      <c r="D45" s="306"/>
      <c r="E45" s="293"/>
      <c r="F45" s="293"/>
      <c r="G45" s="293"/>
      <c r="H45" s="293"/>
      <c r="I45" s="293"/>
      <c r="J45" s="336"/>
      <c r="K45" s="293"/>
      <c r="L45" s="306"/>
      <c r="M45" s="293"/>
      <c r="N45" s="293"/>
      <c r="O45" s="293"/>
    </row>
    <row r="46" spans="1:15" ht="18">
      <c r="A46" s="320" t="s">
        <v>14</v>
      </c>
      <c r="B46" s="346"/>
      <c r="C46" s="297"/>
      <c r="D46" s="322"/>
      <c r="E46" s="297"/>
      <c r="F46" s="297"/>
      <c r="G46" s="228"/>
      <c r="I46" s="320" t="s">
        <v>945</v>
      </c>
      <c r="J46" s="346"/>
      <c r="K46" s="297"/>
      <c r="L46" s="322"/>
      <c r="M46" s="297"/>
      <c r="N46" s="297"/>
      <c r="O46" s="228"/>
    </row>
    <row r="47" spans="1:15" ht="15.75">
      <c r="A47" s="340">
        <f>'Calcul des machines'!B75</f>
        <v>0</v>
      </c>
      <c r="B47" s="240"/>
      <c r="C47" s="241"/>
      <c r="D47" s="242"/>
      <c r="E47" s="243"/>
      <c r="F47" s="223"/>
      <c r="G47" s="226"/>
      <c r="I47" s="340">
        <f>'Calcul des machines'!I75</f>
        <v>0</v>
      </c>
      <c r="J47" s="240"/>
      <c r="K47" s="241"/>
      <c r="L47" s="242"/>
      <c r="M47" s="243"/>
      <c r="N47" s="223"/>
      <c r="O47" s="226"/>
    </row>
    <row r="48" spans="1:15" ht="15.75">
      <c r="A48" s="341"/>
      <c r="B48" s="238" t="str">
        <f>'Calcul des machines'!B76</f>
        <v>Herse à disques tractée, 3 m</v>
      </c>
      <c r="C48" s="222"/>
      <c r="D48" s="244"/>
      <c r="E48" s="282"/>
      <c r="F48" s="223"/>
      <c r="G48" s="226"/>
      <c r="I48" s="341"/>
      <c r="J48" s="238" t="str">
        <f>'Calcul des machines'!I76</f>
        <v>Epandeur de fumier, monocoque, 12 m3</v>
      </c>
      <c r="K48" s="222"/>
      <c r="L48" s="244"/>
      <c r="M48" s="282"/>
      <c r="N48" s="223"/>
      <c r="O48" s="226"/>
    </row>
    <row r="49" spans="1:15" ht="16.5" thickBot="1">
      <c r="A49" s="227"/>
      <c r="B49" s="247"/>
      <c r="C49" s="223"/>
      <c r="D49" s="233"/>
      <c r="E49" s="132">
        <f>IF('Calcul des machines'!D75&gt;0,1,0)</f>
        <v>1</v>
      </c>
      <c r="F49" s="223"/>
      <c r="G49" s="226"/>
      <c r="I49" s="227"/>
      <c r="J49" s="247"/>
      <c r="K49" s="223"/>
      <c r="L49" s="233"/>
      <c r="M49" s="132">
        <f>IF('Calcul des machines'!L75&gt;0,1,0)</f>
        <v>1</v>
      </c>
      <c r="N49" s="223"/>
      <c r="O49" s="226"/>
    </row>
    <row r="50" spans="1:15" ht="15.75">
      <c r="A50" s="227"/>
      <c r="B50" s="247"/>
      <c r="C50" s="223"/>
      <c r="D50" s="250" t="s">
        <v>1456</v>
      </c>
      <c r="E50" s="228"/>
      <c r="F50" s="310" t="str">
        <f>F13</f>
        <v>Variante personnelle</v>
      </c>
      <c r="G50" s="311"/>
      <c r="I50" s="227"/>
      <c r="J50" s="247"/>
      <c r="K50" s="223"/>
      <c r="L50" s="250" t="str">
        <f>L$13</f>
        <v>Valeur indicative Agroscope</v>
      </c>
      <c r="M50" s="297"/>
      <c r="N50" s="310" t="str">
        <f>N$13</f>
        <v>Variante personnelle</v>
      </c>
      <c r="O50" s="311"/>
    </row>
    <row r="51" spans="1:15" ht="15.75">
      <c r="A51" s="227"/>
      <c r="B51" s="247"/>
      <c r="C51" s="248" t="str">
        <f>C$37</f>
        <v>Fr. par unité de travail en:</v>
      </c>
      <c r="D51" s="251" t="str">
        <f>D$14</f>
        <v>Heure</v>
      </c>
      <c r="E51" s="225" t="str">
        <f>E$14</f>
        <v>hectares</v>
      </c>
      <c r="F51" s="251" t="str">
        <f>F$14</f>
        <v>Heure</v>
      </c>
      <c r="G51" s="252" t="str">
        <f>G$14</f>
        <v>hectares</v>
      </c>
      <c r="H51" s="306"/>
      <c r="I51" s="227"/>
      <c r="J51" s="247"/>
      <c r="K51" s="248" t="str">
        <f>K$37</f>
        <v>Fr. par unité de travail en:</v>
      </c>
      <c r="L51" s="251" t="str">
        <f>L$14</f>
        <v>Heure</v>
      </c>
      <c r="M51" s="225" t="str">
        <f>M$14</f>
        <v>charretées</v>
      </c>
      <c r="N51" s="251" t="str">
        <f>N$14</f>
        <v>Heure</v>
      </c>
      <c r="O51" s="252" t="str">
        <f>O$14</f>
        <v>charretées</v>
      </c>
    </row>
    <row r="52" spans="1:15" ht="15.75">
      <c r="A52" s="227"/>
      <c r="B52" s="247"/>
      <c r="C52" s="248" t="str">
        <f>C$38</f>
        <v>Coûts fixes</v>
      </c>
      <c r="D52" s="253"/>
      <c r="E52" s="253">
        <f>'Calcul des machines'!E111*'Calcul des machines'!E87</f>
        <v>59.614285714285714</v>
      </c>
      <c r="F52" s="253"/>
      <c r="G52" s="257">
        <f>'Calcul des machines'!G111*'Calcul des machines'!E87</f>
        <v>59.614285714285714</v>
      </c>
      <c r="H52" s="295"/>
      <c r="I52" s="227"/>
      <c r="J52" s="247"/>
      <c r="K52" s="248" t="str">
        <f>K$38</f>
        <v>Coûts fixes</v>
      </c>
      <c r="L52" s="253"/>
      <c r="M52" s="253">
        <f>'Calcul des machines'!L111*'Calcul des machines'!L87</f>
        <v>19.2</v>
      </c>
      <c r="N52" s="253"/>
      <c r="O52" s="257">
        <f>'Calcul des machines'!N111*'Calcul des machines'!L87</f>
        <v>19.2</v>
      </c>
    </row>
    <row r="53" spans="1:15" ht="15.75">
      <c r="A53" s="227"/>
      <c r="B53" s="247"/>
      <c r="C53" s="248" t="str">
        <f>C$39</f>
        <v>Coûts variables</v>
      </c>
      <c r="D53" s="257"/>
      <c r="E53" s="253">
        <f>'Calcul des machines'!E116*'Calcul des machines'!E87</f>
        <v>13.500000000000002</v>
      </c>
      <c r="F53" s="257"/>
      <c r="G53" s="257">
        <f>'Calcul des machines'!G116*'Calcul des machines'!E87</f>
        <v>13.500000000000002</v>
      </c>
      <c r="H53" s="295"/>
      <c r="I53" s="227"/>
      <c r="J53" s="247"/>
      <c r="K53" s="248" t="str">
        <f>K$39</f>
        <v>Coûts variables</v>
      </c>
      <c r="L53" s="257"/>
      <c r="M53" s="253">
        <f>'Calcul des machines'!L116*'Calcul des machines'!L87</f>
        <v>4.6000000000000005</v>
      </c>
      <c r="N53" s="257"/>
      <c r="O53" s="257">
        <f>'Calcul des machines'!N116*'Calcul des machines'!L87</f>
        <v>4.6000000000000005</v>
      </c>
    </row>
    <row r="54" spans="1:15" ht="15.75">
      <c r="A54" s="227"/>
      <c r="B54" s="247"/>
      <c r="C54" s="248" t="str">
        <f>C$40</f>
        <v>Tarif d'indemnisation net</v>
      </c>
      <c r="D54" s="258"/>
      <c r="E54" s="255">
        <f>SUM(E52:E53)</f>
        <v>73.11428571428571</v>
      </c>
      <c r="F54" s="258"/>
      <c r="G54" s="347">
        <f>SUM(G52:G53)</f>
        <v>73.11428571428571</v>
      </c>
      <c r="H54" s="295"/>
      <c r="I54" s="227"/>
      <c r="J54" s="247"/>
      <c r="K54" s="248" t="str">
        <f>K$40</f>
        <v>Tarif d'indemnisation net</v>
      </c>
      <c r="L54" s="258"/>
      <c r="M54" s="255">
        <f>SUM(M52:M53)</f>
        <v>23.8</v>
      </c>
      <c r="N54" s="258"/>
      <c r="O54" s="347">
        <f>SUM(O52:O53)</f>
        <v>23.8</v>
      </c>
    </row>
    <row r="55" spans="1:15" ht="16.5" thickBot="1">
      <c r="A55" s="227"/>
      <c r="B55" s="247"/>
      <c r="C55" s="248" t="str">
        <f>C$41</f>
        <v>Tarif d'indemnisation, suppléments compris</v>
      </c>
      <c r="D55" s="256">
        <f>IF(E51="heures (h)",0,E55*D10)</f>
        <v>114.2045142857143</v>
      </c>
      <c r="E55" s="256">
        <f>IF(ISERROR(VLOOKUP('Calcul des machines'!D75,Spez!$I$4:$I$25,1,0)),IF(E49=0,0,'Calcul des machines'!E119*'Calcul des machines'!E87),IF(E49=0,0,'Calcul des machines'!E119))</f>
        <v>80.42571428571429</v>
      </c>
      <c r="F55" s="256">
        <f>IF(G51="heures (h)",0,G55*D10)</f>
        <v>114.2045142857143</v>
      </c>
      <c r="G55" s="348">
        <f>IF(ISERROR(VLOOKUP('Calcul des machines'!D75,Spez!$I$4:$I$25,1,0)),IF(E49=0,0,'Calcul des machines'!G119*'Calcul des machines'!E87),IF(E49=0,0,'Calcul des machines'!G119))</f>
        <v>80.42571428571429</v>
      </c>
      <c r="H55" s="295"/>
      <c r="I55" s="227"/>
      <c r="J55" s="247"/>
      <c r="K55" s="248" t="str">
        <f>K$41</f>
        <v>Tarif d'indemnisation, suppléments compris</v>
      </c>
      <c r="L55" s="256">
        <f>IF(M51="heures (h)",0,M55*L$10)</f>
        <v>34.034000000000006</v>
      </c>
      <c r="M55" s="256">
        <f>IF(ISERROR(VLOOKUP('Calcul des machines'!L75,Spez!$I$4:$I$25,1,0)),IF(M49=0,0,'Calcul des machines'!L119*'Calcul des machines'!L87),IF(M49=0,0,'Calcul des machines'!L119))</f>
        <v>26.180000000000003</v>
      </c>
      <c r="N55" s="256">
        <f>IF(O51="heures (h)",0,O55*L10)</f>
        <v>34.034000000000006</v>
      </c>
      <c r="O55" s="348">
        <f>IF(ISERROR(VLOOKUP('Calcul des machines'!L75,Spez!$I$4:$I$25,1,0)),IF(M49=0,0,'Calcul des machines'!N119*'Calcul des machines'!L87),IF(M49=0,0,'Calcul des machines'!N119))</f>
        <v>26.180000000000003</v>
      </c>
    </row>
    <row r="56" spans="1:15" ht="17.25" thickBot="1" thickTop="1">
      <c r="A56" s="342"/>
      <c r="B56" s="343"/>
      <c r="C56" s="326"/>
      <c r="D56" s="344"/>
      <c r="E56" s="344"/>
      <c r="F56" s="344"/>
      <c r="G56" s="345"/>
      <c r="H56" s="295"/>
      <c r="I56" s="342"/>
      <c r="J56" s="343"/>
      <c r="K56" s="326"/>
      <c r="L56" s="344"/>
      <c r="M56" s="344"/>
      <c r="N56" s="344"/>
      <c r="O56" s="345"/>
    </row>
    <row r="57" spans="1:15" s="589" customFormat="1" ht="16.5" thickBot="1">
      <c r="A57" s="293"/>
      <c r="B57" s="336"/>
      <c r="C57" s="293"/>
      <c r="D57" s="306"/>
      <c r="E57" s="293"/>
      <c r="F57" s="293"/>
      <c r="G57" s="293"/>
      <c r="H57" s="293"/>
      <c r="I57" s="293"/>
      <c r="J57" s="336"/>
      <c r="K57" s="293"/>
      <c r="L57" s="306"/>
      <c r="M57" s="293"/>
      <c r="N57" s="293"/>
      <c r="O57" s="293"/>
    </row>
    <row r="58" spans="1:15" ht="18">
      <c r="A58" s="320" t="s">
        <v>15</v>
      </c>
      <c r="B58" s="346"/>
      <c r="C58" s="297"/>
      <c r="D58" s="322"/>
      <c r="E58" s="297"/>
      <c r="F58" s="297"/>
      <c r="G58" s="586" t="e">
        <f>'Calcul des machines'!B133</f>
        <v>#N/A</v>
      </c>
      <c r="I58" s="320" t="s">
        <v>16</v>
      </c>
      <c r="J58" s="346"/>
      <c r="K58" s="297"/>
      <c r="L58" s="322"/>
      <c r="M58" s="297"/>
      <c r="N58" s="297"/>
      <c r="O58" s="586" t="e">
        <f>'Calcul des machines'!I133</f>
        <v>#N/A</v>
      </c>
    </row>
    <row r="59" spans="1:15" ht="15.75">
      <c r="A59" s="340">
        <f>'Calcul des machines'!B135</f>
        <v>0</v>
      </c>
      <c r="B59" s="240"/>
      <c r="C59" s="241"/>
      <c r="D59" s="242"/>
      <c r="E59" s="243"/>
      <c r="F59" s="223"/>
      <c r="G59" s="226"/>
      <c r="I59" s="340">
        <f>'Calcul des machines'!I135</f>
        <v>0</v>
      </c>
      <c r="J59" s="240"/>
      <c r="K59" s="241"/>
      <c r="L59" s="242"/>
      <c r="M59" s="243"/>
      <c r="N59" s="223"/>
      <c r="O59" s="226"/>
    </row>
    <row r="60" spans="1:15" ht="15.75">
      <c r="A60" s="341"/>
      <c r="B60" s="238" t="e">
        <f>'Calcul des machines'!B136</f>
        <v>#N/A</v>
      </c>
      <c r="C60" s="222"/>
      <c r="D60" s="244"/>
      <c r="E60" s="282"/>
      <c r="F60" s="223"/>
      <c r="G60" s="226"/>
      <c r="I60" s="341"/>
      <c r="J60" s="238" t="e">
        <f>'Calcul des machines'!I136</f>
        <v>#N/A</v>
      </c>
      <c r="K60" s="222"/>
      <c r="L60" s="244"/>
      <c r="M60" s="282"/>
      <c r="N60" s="223"/>
      <c r="O60" s="226"/>
    </row>
    <row r="61" spans="1:15" ht="16.5" thickBot="1">
      <c r="A61" s="227"/>
      <c r="B61" s="247"/>
      <c r="C61" s="223"/>
      <c r="D61" s="233"/>
      <c r="E61" s="132">
        <f>IF('Calcul des machines'!D135&gt;0,1,0)</f>
        <v>0</v>
      </c>
      <c r="F61" s="223"/>
      <c r="G61" s="226"/>
      <c r="I61" s="227"/>
      <c r="J61" s="247"/>
      <c r="K61" s="223"/>
      <c r="L61" s="233"/>
      <c r="M61" s="132">
        <f>IF('Calcul des machines'!L135&gt;0,1,0)</f>
        <v>0</v>
      </c>
      <c r="N61" s="223"/>
      <c r="O61" s="226"/>
    </row>
    <row r="62" spans="1:15" ht="15.75">
      <c r="A62" s="227"/>
      <c r="B62" s="247"/>
      <c r="C62" s="223"/>
      <c r="D62" s="250" t="s">
        <v>1456</v>
      </c>
      <c r="E62" s="228"/>
      <c r="F62" s="310" t="str">
        <f>F13</f>
        <v>Variante personnelle</v>
      </c>
      <c r="G62" s="311"/>
      <c r="I62" s="227"/>
      <c r="J62" s="247"/>
      <c r="K62" s="223"/>
      <c r="L62" s="250" t="str">
        <f>L$13</f>
        <v>Valeur indicative Agroscope</v>
      </c>
      <c r="M62" s="297"/>
      <c r="N62" s="310" t="str">
        <f>N$13</f>
        <v>Variante personnelle</v>
      </c>
      <c r="O62" s="311"/>
    </row>
    <row r="63" spans="1:15" ht="15.75">
      <c r="A63" s="227"/>
      <c r="B63" s="247"/>
      <c r="C63" s="248" t="str">
        <f>C$37</f>
        <v>Fr. par unité de travail en:</v>
      </c>
      <c r="D63" s="251" t="str">
        <f>D$14</f>
        <v>Heure</v>
      </c>
      <c r="E63" s="225" t="str">
        <f>E$14</f>
        <v>hectares</v>
      </c>
      <c r="F63" s="251" t="str">
        <f>F$14</f>
        <v>Heure</v>
      </c>
      <c r="G63" s="252" t="str">
        <f>G$14</f>
        <v>hectares</v>
      </c>
      <c r="H63" s="306"/>
      <c r="I63" s="227"/>
      <c r="J63" s="247"/>
      <c r="K63" s="248" t="str">
        <f>K$37</f>
        <v>Fr. par unité de travail en:</v>
      </c>
      <c r="L63" s="251" t="str">
        <f>L$14</f>
        <v>Heure</v>
      </c>
      <c r="M63" s="225" t="str">
        <f>M$14</f>
        <v>charretées</v>
      </c>
      <c r="N63" s="251" t="str">
        <f>N$14</f>
        <v>Heure</v>
      </c>
      <c r="O63" s="252" t="str">
        <f>O$14</f>
        <v>charretées</v>
      </c>
    </row>
    <row r="64" spans="1:15" ht="15.75">
      <c r="A64" s="227"/>
      <c r="B64" s="247"/>
      <c r="C64" s="248" t="str">
        <f>C$38</f>
        <v>Coûts fixes</v>
      </c>
      <c r="D64" s="253"/>
      <c r="E64" s="253" t="e">
        <f>'Calcul des machines'!E171*'Calcul des machines'!E147</f>
        <v>#N/A</v>
      </c>
      <c r="F64" s="253"/>
      <c r="G64" s="257" t="e">
        <f>'Calcul des machines'!G171*'Calcul des machines'!E147</f>
        <v>#N/A</v>
      </c>
      <c r="H64" s="295"/>
      <c r="I64" s="227"/>
      <c r="J64" s="247"/>
      <c r="K64" s="248" t="str">
        <f>K$38</f>
        <v>Coûts fixes</v>
      </c>
      <c r="L64" s="253"/>
      <c r="M64" s="253" t="e">
        <f>'Calcul des machines'!L171*'Calcul des machines'!L147</f>
        <v>#N/A</v>
      </c>
      <c r="N64" s="253"/>
      <c r="O64" s="257" t="e">
        <f>'Calcul des machines'!N171*'Calcul des machines'!L147</f>
        <v>#N/A</v>
      </c>
    </row>
    <row r="65" spans="1:15" ht="15.75">
      <c r="A65" s="227"/>
      <c r="B65" s="247"/>
      <c r="C65" s="248" t="str">
        <f>C$39</f>
        <v>Coûts variables</v>
      </c>
      <c r="D65" s="257"/>
      <c r="E65" s="253" t="e">
        <f>'Calcul des machines'!E176*'Calcul des machines'!E147</f>
        <v>#N/A</v>
      </c>
      <c r="F65" s="257"/>
      <c r="G65" s="257" t="e">
        <f>'Calcul des machines'!G176*'Calcul des machines'!E147</f>
        <v>#N/A</v>
      </c>
      <c r="H65" s="295"/>
      <c r="I65" s="227"/>
      <c r="J65" s="247"/>
      <c r="K65" s="248" t="str">
        <f>K$39</f>
        <v>Coûts variables</v>
      </c>
      <c r="L65" s="257"/>
      <c r="M65" s="253" t="e">
        <f>'Calcul des machines'!L176*'Calcul des machines'!L147</f>
        <v>#N/A</v>
      </c>
      <c r="N65" s="257"/>
      <c r="O65" s="257" t="e">
        <f>'Calcul des machines'!N176*'Calcul des machines'!L147</f>
        <v>#N/A</v>
      </c>
    </row>
    <row r="66" spans="1:15" ht="15.75">
      <c r="A66" s="227"/>
      <c r="B66" s="247"/>
      <c r="C66" s="248" t="str">
        <f>C$40</f>
        <v>Tarif d'indemnisation net</v>
      </c>
      <c r="D66" s="258"/>
      <c r="E66" s="255" t="e">
        <f>SUM(E64:E65)</f>
        <v>#N/A</v>
      </c>
      <c r="F66" s="258"/>
      <c r="G66" s="347" t="e">
        <f>SUM(G64:G65)</f>
        <v>#N/A</v>
      </c>
      <c r="H66" s="295"/>
      <c r="I66" s="227"/>
      <c r="J66" s="247"/>
      <c r="K66" s="248" t="str">
        <f>K$40</f>
        <v>Tarif d'indemnisation net</v>
      </c>
      <c r="L66" s="258"/>
      <c r="M66" s="255" t="e">
        <f>SUM(M64:M65)</f>
        <v>#N/A</v>
      </c>
      <c r="N66" s="258"/>
      <c r="O66" s="347" t="e">
        <f>SUM(O64:O65)</f>
        <v>#N/A</v>
      </c>
    </row>
    <row r="67" spans="1:15" ht="16.5" thickBot="1">
      <c r="A67" s="227"/>
      <c r="B67" s="247"/>
      <c r="C67" s="248" t="str">
        <f>C$41</f>
        <v>Tarif d'indemnisation, suppléments compris</v>
      </c>
      <c r="D67" s="256">
        <f>IF(E63="heures (h)",0,E67*D$10)</f>
        <v>0</v>
      </c>
      <c r="E67" s="256">
        <f>IF(ISERROR(VLOOKUP('Calcul des machines'!D135,Spez!$I$4:$I$25,1,0)),IF(E61=0,0,'Calcul des machines'!E179*'Calcul des machines'!E147),IF(E61=0,0,'Calcul des machines'!E179))</f>
        <v>0</v>
      </c>
      <c r="F67" s="256">
        <f>IF(G63="heures (h)",0,G67*D$10)</f>
        <v>0</v>
      </c>
      <c r="G67" s="348">
        <f>IF(ISERROR(VLOOKUP('Calcul des machines'!D135,Spez!$I$4:$I$25,1,0)),IF(E61=0,0,'Calcul des machines'!G179*'Calcul des machines'!E147),IF(E61=0,0,'Calcul des machines'!G179))</f>
        <v>0</v>
      </c>
      <c r="H67" s="295"/>
      <c r="I67" s="227"/>
      <c r="J67" s="247"/>
      <c r="K67" s="248" t="str">
        <f>K$41</f>
        <v>Tarif d'indemnisation, suppléments compris</v>
      </c>
      <c r="L67" s="256">
        <f>IF(M63="heures (h)",0,M67*L$10)</f>
        <v>0</v>
      </c>
      <c r="M67" s="256">
        <f>IF(ISERROR(VLOOKUP('Calcul des machines'!L135,Spez!$I$4:$I$25,1,0)),IF(M61=0,0,'Calcul des machines'!L179*'Calcul des machines'!L147),IF(M61=0,0,'Calcul des machines'!L179))</f>
        <v>0</v>
      </c>
      <c r="N67" s="256">
        <f>IF(O63="heures (h)",0,O67*L$10)</f>
        <v>0</v>
      </c>
      <c r="O67" s="348">
        <f>IF(ISERROR(VLOOKUP('Calcul des machines'!L135,Spez!$I$4:$I$25,1,0)),IF(M61=0,0,'Calcul des machines'!N179*'Calcul des machines'!L147),IF(M61=0,0,'Calcul des machines'!N179))</f>
        <v>0</v>
      </c>
    </row>
    <row r="68" spans="1:15" ht="17.25" thickBot="1" thickTop="1">
      <c r="A68" s="342"/>
      <c r="B68" s="343"/>
      <c r="C68" s="326"/>
      <c r="D68" s="344"/>
      <c r="E68" s="344"/>
      <c r="F68" s="344"/>
      <c r="G68" s="345"/>
      <c r="H68" s="295"/>
      <c r="I68" s="342"/>
      <c r="J68" s="343"/>
      <c r="K68" s="326"/>
      <c r="L68" s="344"/>
      <c r="M68" s="344"/>
      <c r="N68" s="344"/>
      <c r="O68" s="345"/>
    </row>
    <row r="69" spans="1:15" ht="16.5" thickBot="1">
      <c r="A69" s="293"/>
      <c r="B69" s="336"/>
      <c r="C69" s="330"/>
      <c r="D69" s="295"/>
      <c r="E69" s="295"/>
      <c r="F69" s="295"/>
      <c r="G69" s="295"/>
      <c r="H69" s="295"/>
      <c r="I69" s="293"/>
      <c r="J69" s="336"/>
      <c r="K69" s="330"/>
      <c r="L69" s="295"/>
      <c r="M69" s="295"/>
      <c r="N69" s="295"/>
      <c r="O69" s="295"/>
    </row>
    <row r="70" spans="1:15" ht="18">
      <c r="A70" s="320" t="s">
        <v>17</v>
      </c>
      <c r="B70" s="346"/>
      <c r="C70" s="297"/>
      <c r="D70" s="322"/>
      <c r="E70" s="297"/>
      <c r="F70" s="297"/>
      <c r="G70" s="586" t="e">
        <f>'Calcul des machines'!B193</f>
        <v>#N/A</v>
      </c>
      <c r="I70" s="320" t="s">
        <v>18</v>
      </c>
      <c r="J70" s="346"/>
      <c r="K70" s="297"/>
      <c r="L70" s="322"/>
      <c r="M70" s="297"/>
      <c r="N70" s="297"/>
      <c r="O70" s="586" t="e">
        <f>'Calcul des machines'!I193</f>
        <v>#N/A</v>
      </c>
    </row>
    <row r="71" spans="1:15" ht="15.75">
      <c r="A71" s="340">
        <f>'Calcul des machines'!B195</f>
        <v>0</v>
      </c>
      <c r="B71" s="240"/>
      <c r="C71" s="241"/>
      <c r="D71" s="242"/>
      <c r="E71" s="243"/>
      <c r="F71" s="223"/>
      <c r="G71" s="226"/>
      <c r="I71" s="340">
        <f>'Calcul des machines'!I195</f>
        <v>0</v>
      </c>
      <c r="J71" s="240"/>
      <c r="K71" s="241"/>
      <c r="L71" s="242"/>
      <c r="M71" s="243"/>
      <c r="N71" s="223"/>
      <c r="O71" s="226"/>
    </row>
    <row r="72" spans="1:15" ht="15.75">
      <c r="A72" s="341"/>
      <c r="B72" s="238" t="e">
        <f>'Calcul des machines'!B196</f>
        <v>#N/A</v>
      </c>
      <c r="C72" s="222"/>
      <c r="D72" s="244"/>
      <c r="E72" s="132"/>
      <c r="F72" s="223"/>
      <c r="G72" s="226"/>
      <c r="I72" s="341"/>
      <c r="J72" s="238" t="e">
        <f>'Calcul des machines'!I196</f>
        <v>#N/A</v>
      </c>
      <c r="K72" s="222"/>
      <c r="L72" s="244"/>
      <c r="M72" s="132"/>
      <c r="N72" s="223"/>
      <c r="O72" s="226"/>
    </row>
    <row r="73" spans="1:15" ht="16.5" thickBot="1">
      <c r="A73" s="227"/>
      <c r="B73" s="247"/>
      <c r="C73" s="223"/>
      <c r="D73" s="233"/>
      <c r="E73" s="132">
        <f>IF('Calcul des machines'!D195&gt;0,1,0)</f>
        <v>0</v>
      </c>
      <c r="F73" s="223"/>
      <c r="G73" s="226"/>
      <c r="I73" s="227"/>
      <c r="J73" s="247"/>
      <c r="K73" s="223"/>
      <c r="L73" s="233"/>
      <c r="M73" s="132">
        <f>IF('Calcul des machines'!L195&gt;0,1,0)</f>
        <v>0</v>
      </c>
      <c r="N73" s="223"/>
      <c r="O73" s="226"/>
    </row>
    <row r="74" spans="1:15" ht="15.75">
      <c r="A74" s="227"/>
      <c r="B74" s="247"/>
      <c r="C74" s="223"/>
      <c r="D74" s="250" t="s">
        <v>1456</v>
      </c>
      <c r="E74" s="228"/>
      <c r="F74" s="310" t="str">
        <f>F13</f>
        <v>Variante personnelle</v>
      </c>
      <c r="G74" s="311"/>
      <c r="I74" s="227"/>
      <c r="J74" s="247"/>
      <c r="K74" s="223"/>
      <c r="L74" s="250" t="str">
        <f>L$13</f>
        <v>Valeur indicative Agroscope</v>
      </c>
      <c r="M74" s="297"/>
      <c r="N74" s="310" t="str">
        <f>N$13</f>
        <v>Variante personnelle</v>
      </c>
      <c r="O74" s="311"/>
    </row>
    <row r="75" spans="1:15" ht="15.75">
      <c r="A75" s="227"/>
      <c r="B75" s="247"/>
      <c r="C75" s="248" t="str">
        <f>C$37</f>
        <v>Fr. par unité de travail en:</v>
      </c>
      <c r="D75" s="251" t="str">
        <f>D$14</f>
        <v>Heure</v>
      </c>
      <c r="E75" s="225" t="str">
        <f>E$14</f>
        <v>hectares</v>
      </c>
      <c r="F75" s="251" t="str">
        <f>F$14</f>
        <v>Heure</v>
      </c>
      <c r="G75" s="252" t="str">
        <f>G$14</f>
        <v>hectares</v>
      </c>
      <c r="H75" s="306"/>
      <c r="I75" s="227"/>
      <c r="J75" s="247"/>
      <c r="K75" s="248" t="str">
        <f>K$37</f>
        <v>Fr. par unité de travail en:</v>
      </c>
      <c r="L75" s="251" t="str">
        <f>L$14</f>
        <v>Heure</v>
      </c>
      <c r="M75" s="225" t="str">
        <f>M$14</f>
        <v>charretées</v>
      </c>
      <c r="N75" s="251" t="str">
        <f>N$14</f>
        <v>Heure</v>
      </c>
      <c r="O75" s="252" t="str">
        <f>O$14</f>
        <v>charretées</v>
      </c>
    </row>
    <row r="76" spans="1:15" ht="15.75">
      <c r="A76" s="227"/>
      <c r="B76" s="247"/>
      <c r="C76" s="248" t="str">
        <f>C$38</f>
        <v>Coûts fixes</v>
      </c>
      <c r="D76" s="253"/>
      <c r="E76" s="253" t="e">
        <f>'Calcul des machines'!E231*'Calcul des machines'!E207</f>
        <v>#N/A</v>
      </c>
      <c r="F76" s="253"/>
      <c r="G76" s="257" t="e">
        <f>'Calcul des machines'!G231*'Calcul des machines'!E207</f>
        <v>#N/A</v>
      </c>
      <c r="H76" s="295"/>
      <c r="I76" s="227"/>
      <c r="J76" s="247"/>
      <c r="K76" s="248" t="str">
        <f>K$38</f>
        <v>Coûts fixes</v>
      </c>
      <c r="L76" s="253"/>
      <c r="M76" s="253" t="e">
        <f>'Calcul des machines'!L231*'Calcul des machines'!L207</f>
        <v>#N/A</v>
      </c>
      <c r="N76" s="253"/>
      <c r="O76" s="257" t="e">
        <f>'Calcul des machines'!N231*'Calcul des machines'!L207</f>
        <v>#N/A</v>
      </c>
    </row>
    <row r="77" spans="1:15" ht="15.75">
      <c r="A77" s="227"/>
      <c r="B77" s="247"/>
      <c r="C77" s="248" t="str">
        <f>C$39</f>
        <v>Coûts variables</v>
      </c>
      <c r="D77" s="257"/>
      <c r="E77" s="253" t="e">
        <f>'Calcul des machines'!E236*'Calcul des machines'!E207</f>
        <v>#N/A</v>
      </c>
      <c r="F77" s="257"/>
      <c r="G77" s="257" t="e">
        <f>'Calcul des machines'!G236*'Calcul des machines'!E207</f>
        <v>#N/A</v>
      </c>
      <c r="H77" s="295"/>
      <c r="I77" s="227"/>
      <c r="J77" s="247"/>
      <c r="K77" s="248" t="str">
        <f>K$39</f>
        <v>Coûts variables</v>
      </c>
      <c r="L77" s="257"/>
      <c r="M77" s="253" t="e">
        <f>'Calcul des machines'!L236*'Calcul des machines'!L207</f>
        <v>#N/A</v>
      </c>
      <c r="N77" s="257"/>
      <c r="O77" s="257" t="e">
        <f>'Calcul des machines'!N236*'Calcul des machines'!L207</f>
        <v>#N/A</v>
      </c>
    </row>
    <row r="78" spans="1:15" ht="15.75">
      <c r="A78" s="227"/>
      <c r="B78" s="247"/>
      <c r="C78" s="248" t="str">
        <f>C$40</f>
        <v>Tarif d'indemnisation net</v>
      </c>
      <c r="D78" s="258"/>
      <c r="E78" s="255" t="e">
        <f>SUM(E76:E77)</f>
        <v>#N/A</v>
      </c>
      <c r="F78" s="258"/>
      <c r="G78" s="347" t="e">
        <f>SUM(G76:G77)</f>
        <v>#N/A</v>
      </c>
      <c r="H78" s="295"/>
      <c r="I78" s="227"/>
      <c r="J78" s="247"/>
      <c r="K78" s="248" t="str">
        <f>K$40</f>
        <v>Tarif d'indemnisation net</v>
      </c>
      <c r="L78" s="258"/>
      <c r="M78" s="255" t="e">
        <f>SUM(M76:M77)</f>
        <v>#N/A</v>
      </c>
      <c r="N78" s="258"/>
      <c r="O78" s="347" t="e">
        <f>SUM(O76:O77)</f>
        <v>#N/A</v>
      </c>
    </row>
    <row r="79" spans="1:15" ht="16.5" thickBot="1">
      <c r="A79" s="227"/>
      <c r="B79" s="247"/>
      <c r="C79" s="248" t="str">
        <f>C$41</f>
        <v>Tarif d'indemnisation, suppléments compris</v>
      </c>
      <c r="D79" s="256">
        <f>IF(E75="heures (h)",0,E79*D$10)</f>
        <v>0</v>
      </c>
      <c r="E79" s="256">
        <f>IF(ISERROR(VLOOKUP('Calcul des machines'!D195,Spez!$I$4:$I$25,1,0)),IF(E73=0,0,'Calcul des machines'!E239*'Calcul des machines'!E207),IF(E73=0,0,'Calcul des machines'!E239))</f>
        <v>0</v>
      </c>
      <c r="F79" s="256">
        <f>IF(G75="heures (h)",0,G79*D$10)</f>
        <v>0</v>
      </c>
      <c r="G79" s="348">
        <f>IF(ISERROR(VLOOKUP('Calcul des machines'!D195,Spez!$I$4:$I$25,1,0)),IF(E73=0,0,'Calcul des machines'!G239*'Calcul des machines'!E207),IF(E73=0,0,'Calcul des machines'!G239))</f>
        <v>0</v>
      </c>
      <c r="H79" s="295"/>
      <c r="I79" s="227"/>
      <c r="J79" s="247"/>
      <c r="K79" s="248" t="str">
        <f>K$41</f>
        <v>Tarif d'indemnisation, suppléments compris</v>
      </c>
      <c r="L79" s="256">
        <f>IF(M75="heures (h)",0,M79*L$10)</f>
        <v>0</v>
      </c>
      <c r="M79" s="256">
        <f>IF(ISERROR(VLOOKUP('Calcul des machines'!L195,Spez!$I$4:$I$25,1,0)),IF(M73=0,0,'Calcul des machines'!L239*'Calcul des machines'!L207),IF(M73=0,0,'Calcul des machines'!L239))</f>
        <v>0</v>
      </c>
      <c r="N79" s="256">
        <f>IF(O75="heures (h)",0,O79*L$10)</f>
        <v>0</v>
      </c>
      <c r="O79" s="348">
        <f>IF(ISERROR(VLOOKUP('Calcul des machines'!L195,Spez!$I$4:$I$25,1,0)),IF(M73=0,0,'Calcul des machines'!N239*'Calcul des machines'!L207),IF(M73=0,0,'Calcul des machines'!N239))</f>
        <v>0</v>
      </c>
    </row>
    <row r="80" spans="1:15" ht="14.25" thickBot="1" thickTop="1">
      <c r="A80" s="342"/>
      <c r="B80" s="280"/>
      <c r="C80" s="280"/>
      <c r="D80" s="280"/>
      <c r="E80" s="280"/>
      <c r="F80" s="280"/>
      <c r="G80" s="291"/>
      <c r="I80" s="342"/>
      <c r="J80" s="280"/>
      <c r="K80" s="280"/>
      <c r="L80" s="280"/>
      <c r="M80" s="280"/>
      <c r="N80" s="280"/>
      <c r="O80" s="291"/>
    </row>
    <row r="81" spans="1:15" ht="12.75">
      <c r="A81" s="292"/>
      <c r="B81" s="292"/>
      <c r="C81" s="292"/>
      <c r="D81" s="292"/>
      <c r="E81" s="292"/>
      <c r="F81" s="292"/>
      <c r="G81" s="292"/>
      <c r="I81" s="292"/>
      <c r="J81" s="292"/>
      <c r="K81" s="292"/>
      <c r="L81" s="292"/>
      <c r="M81" s="292"/>
      <c r="N81" s="292"/>
      <c r="O81" s="292"/>
    </row>
    <row r="82" spans="1:12" ht="12.75">
      <c r="A82" s="6"/>
      <c r="B82" s="6"/>
      <c r="C82" s="6"/>
      <c r="D82" s="6"/>
      <c r="E82" s="6"/>
      <c r="F82" s="6"/>
      <c r="G82" s="6"/>
      <c r="H82" s="223"/>
      <c r="I82" s="6"/>
      <c r="J82" s="6"/>
      <c r="K82" s="6"/>
      <c r="L82" s="6"/>
    </row>
    <row r="83" spans="1:12" ht="12.75">
      <c r="A83" s="6"/>
      <c r="B83" s="6"/>
      <c r="C83" s="6"/>
      <c r="D83" s="6"/>
      <c r="E83" s="6"/>
      <c r="F83" s="6"/>
      <c r="G83" s="6"/>
      <c r="H83" s="223"/>
      <c r="I83" s="6"/>
      <c r="J83" s="6"/>
      <c r="K83" s="6"/>
      <c r="L83" s="6"/>
    </row>
    <row r="84" spans="1:12" ht="12.75">
      <c r="A84" s="6"/>
      <c r="B84" s="6"/>
      <c r="C84" s="6"/>
      <c r="D84" s="6"/>
      <c r="E84" s="6"/>
      <c r="F84" s="6"/>
      <c r="G84" s="6"/>
      <c r="H84" s="223"/>
      <c r="I84" s="6"/>
      <c r="J84" s="6"/>
      <c r="K84" s="6"/>
      <c r="L84" s="6"/>
    </row>
    <row r="85" spans="1:12" ht="12.75">
      <c r="A85" s="6"/>
      <c r="B85" s="6"/>
      <c r="C85" s="6"/>
      <c r="D85" s="6"/>
      <c r="E85" s="6"/>
      <c r="F85" s="6"/>
      <c r="G85" s="6"/>
      <c r="H85" s="223"/>
      <c r="I85" s="6"/>
      <c r="J85" s="6"/>
      <c r="K85" s="6"/>
      <c r="L85" s="6"/>
    </row>
    <row r="86" spans="1:12" ht="26.25">
      <c r="A86" s="6"/>
      <c r="B86" s="267"/>
      <c r="C86" s="6"/>
      <c r="D86" s="6"/>
      <c r="E86" s="6"/>
      <c r="F86" s="6"/>
      <c r="G86" s="6"/>
      <c r="H86" s="223"/>
      <c r="I86" s="6"/>
      <c r="J86" s="267"/>
      <c r="K86" s="6"/>
      <c r="L86" s="6"/>
    </row>
    <row r="87" spans="1:13" ht="12.75">
      <c r="A87" s="6"/>
      <c r="B87" s="6"/>
      <c r="C87" s="6"/>
      <c r="D87" s="6"/>
      <c r="E87" s="6"/>
      <c r="F87" s="6"/>
      <c r="G87" s="6"/>
      <c r="H87" s="223"/>
      <c r="I87" s="223"/>
      <c r="J87" s="6"/>
      <c r="K87" s="6"/>
      <c r="L87" s="223"/>
      <c r="M87" s="223"/>
    </row>
    <row r="88" spans="1:13" ht="12.75">
      <c r="A88" s="6"/>
      <c r="B88" s="6"/>
      <c r="C88" s="6"/>
      <c r="D88" s="6"/>
      <c r="E88" s="6"/>
      <c r="F88" s="6"/>
      <c r="G88" s="6"/>
      <c r="H88" s="223"/>
      <c r="I88" s="223"/>
      <c r="J88" s="6"/>
      <c r="K88" s="6"/>
      <c r="L88" s="223"/>
      <c r="M88" s="223"/>
    </row>
    <row r="89" spans="1:13" ht="12.75">
      <c r="A89" s="6"/>
      <c r="B89" s="6"/>
      <c r="C89" s="6"/>
      <c r="D89" s="6"/>
      <c r="E89" s="6"/>
      <c r="F89" s="6"/>
      <c r="G89" s="6"/>
      <c r="H89" s="223"/>
      <c r="I89" s="223"/>
      <c r="J89" s="6"/>
      <c r="K89" s="6"/>
      <c r="L89" s="223"/>
      <c r="M89" s="223"/>
    </row>
    <row r="90" spans="1:13" ht="12.75">
      <c r="A90" s="6"/>
      <c r="B90" s="6"/>
      <c r="C90" s="6"/>
      <c r="D90" s="6"/>
      <c r="E90" s="6"/>
      <c r="F90" s="6"/>
      <c r="G90" s="6"/>
      <c r="H90" s="223"/>
      <c r="I90" s="223"/>
      <c r="J90" s="6"/>
      <c r="K90" s="6"/>
      <c r="L90" s="223"/>
      <c r="M90" s="223"/>
    </row>
    <row r="91" spans="1:13" ht="12.75">
      <c r="A91" s="6"/>
      <c r="B91" s="6"/>
      <c r="C91" s="6"/>
      <c r="D91" s="6"/>
      <c r="E91" s="6"/>
      <c r="F91" s="6"/>
      <c r="G91" s="6"/>
      <c r="H91" s="223"/>
      <c r="I91" s="223"/>
      <c r="J91" s="6"/>
      <c r="K91" s="6"/>
      <c r="L91" s="223"/>
      <c r="M91" s="223"/>
    </row>
    <row r="92" spans="8:15" ht="12.75">
      <c r="H92"/>
      <c r="I92"/>
      <c r="L92"/>
      <c r="M92"/>
      <c r="N92"/>
      <c r="O92"/>
    </row>
    <row r="93" spans="8:15" ht="12.75">
      <c r="H93"/>
      <c r="I93"/>
      <c r="L93"/>
      <c r="M93"/>
      <c r="N93"/>
      <c r="O93"/>
    </row>
    <row r="94" spans="8:15" ht="12.75">
      <c r="H94"/>
      <c r="I94"/>
      <c r="L94"/>
      <c r="M94"/>
      <c r="N94"/>
      <c r="O94"/>
    </row>
    <row r="95" spans="8:15" ht="12.75">
      <c r="H95"/>
      <c r="I95"/>
      <c r="L95"/>
      <c r="M95"/>
      <c r="N95"/>
      <c r="O95"/>
    </row>
    <row r="96" spans="8:15" ht="12.75">
      <c r="H96"/>
      <c r="I96"/>
      <c r="L96"/>
      <c r="M96"/>
      <c r="N96"/>
      <c r="O96"/>
    </row>
    <row r="97" spans="8:15" ht="12.75">
      <c r="H97"/>
      <c r="I97"/>
      <c r="L97"/>
      <c r="M97"/>
      <c r="N97"/>
      <c r="O97"/>
    </row>
    <row r="98" spans="8:15" ht="12.75">
      <c r="H98"/>
      <c r="I98"/>
      <c r="L98"/>
      <c r="M98"/>
      <c r="N98"/>
      <c r="O98"/>
    </row>
    <row r="99" spans="8:15" ht="12.75">
      <c r="H99"/>
      <c r="I99"/>
      <c r="L99"/>
      <c r="M99"/>
      <c r="N99"/>
      <c r="O99"/>
    </row>
    <row r="100" spans="8:15" ht="12.75">
      <c r="H100"/>
      <c r="I100"/>
      <c r="L100"/>
      <c r="M100"/>
      <c r="N100"/>
      <c r="O100"/>
    </row>
    <row r="101" spans="8:15" ht="12.75">
      <c r="H101"/>
      <c r="I101"/>
      <c r="L101"/>
      <c r="M101"/>
      <c r="N101"/>
      <c r="O101"/>
    </row>
    <row r="102" spans="8:15" ht="12.75">
      <c r="H102"/>
      <c r="I102"/>
      <c r="L102"/>
      <c r="M102"/>
      <c r="N102"/>
      <c r="O102"/>
    </row>
    <row r="103" spans="8:15" ht="12.75">
      <c r="H103"/>
      <c r="I103"/>
      <c r="L103"/>
      <c r="M103"/>
      <c r="N103"/>
      <c r="O103"/>
    </row>
    <row r="104" spans="8:15" ht="12.75">
      <c r="H104"/>
      <c r="I104"/>
      <c r="L104"/>
      <c r="M104"/>
      <c r="N104"/>
      <c r="O104"/>
    </row>
    <row r="105" spans="8:15" ht="12.75">
      <c r="H105"/>
      <c r="I105"/>
      <c r="L105"/>
      <c r="M105"/>
      <c r="N105"/>
      <c r="O105"/>
    </row>
    <row r="106" spans="8:15" ht="12.75">
      <c r="H106"/>
      <c r="I106"/>
      <c r="L106"/>
      <c r="M106"/>
      <c r="N106"/>
      <c r="O106"/>
    </row>
    <row r="107" spans="8:15" ht="12.75">
      <c r="H107"/>
      <c r="I107"/>
      <c r="L107"/>
      <c r="M107"/>
      <c r="N107"/>
      <c r="O107"/>
    </row>
    <row r="108" spans="8:15" ht="12.75">
      <c r="H108"/>
      <c r="I108"/>
      <c r="L108"/>
      <c r="M108"/>
      <c r="N108"/>
      <c r="O108"/>
    </row>
    <row r="109" spans="8:15" ht="12.75">
      <c r="H109"/>
      <c r="I109"/>
      <c r="L109"/>
      <c r="M109"/>
      <c r="N109"/>
      <c r="O109"/>
    </row>
    <row r="110" spans="8:15" ht="12.75">
      <c r="H110"/>
      <c r="I110"/>
      <c r="L110"/>
      <c r="M110"/>
      <c r="N110"/>
      <c r="O110"/>
    </row>
    <row r="111" spans="8:15" ht="12.75">
      <c r="H111"/>
      <c r="I111"/>
      <c r="L111"/>
      <c r="M111"/>
      <c r="N111"/>
      <c r="O111"/>
    </row>
    <row r="112" spans="8:15" ht="12.75">
      <c r="H112"/>
      <c r="I112"/>
      <c r="L112"/>
      <c r="M112"/>
      <c r="N112"/>
      <c r="O112"/>
    </row>
    <row r="113" spans="8:15" ht="12.75">
      <c r="H113"/>
      <c r="I113"/>
      <c r="L113"/>
      <c r="M113"/>
      <c r="N113"/>
      <c r="O113"/>
    </row>
    <row r="114" spans="8:15" ht="12.75">
      <c r="H114"/>
      <c r="I114"/>
      <c r="L114"/>
      <c r="M114"/>
      <c r="N114"/>
      <c r="O114"/>
    </row>
    <row r="115" spans="8:15" ht="12.75">
      <c r="H115"/>
      <c r="I115"/>
      <c r="L115"/>
      <c r="M115"/>
      <c r="N115"/>
      <c r="O115"/>
    </row>
    <row r="116" spans="8:15" ht="12.75">
      <c r="H116"/>
      <c r="I116"/>
      <c r="L116"/>
      <c r="M116"/>
      <c r="N116"/>
      <c r="O116"/>
    </row>
    <row r="117" spans="8:15" ht="12.75">
      <c r="H117"/>
      <c r="I117"/>
      <c r="L117"/>
      <c r="M117"/>
      <c r="N117"/>
      <c r="O117"/>
    </row>
    <row r="118" spans="8:15" ht="12.75">
      <c r="H118"/>
      <c r="I118"/>
      <c r="L118"/>
      <c r="M118"/>
      <c r="N118"/>
      <c r="O118"/>
    </row>
    <row r="119" spans="8:15" ht="12.75">
      <c r="H119"/>
      <c r="I119"/>
      <c r="L119"/>
      <c r="M119"/>
      <c r="N119"/>
      <c r="O119"/>
    </row>
    <row r="120" spans="8:15" ht="12.75">
      <c r="H120"/>
      <c r="I120"/>
      <c r="L120"/>
      <c r="M120"/>
      <c r="N120"/>
      <c r="O120"/>
    </row>
    <row r="121" spans="8:15" ht="12.75">
      <c r="H121"/>
      <c r="I121"/>
      <c r="L121"/>
      <c r="M121"/>
      <c r="N121"/>
      <c r="O121"/>
    </row>
    <row r="122" spans="8:15" ht="12.75">
      <c r="H122"/>
      <c r="I122"/>
      <c r="L122"/>
      <c r="M122"/>
      <c r="N122"/>
      <c r="O122"/>
    </row>
    <row r="123" spans="8:15" ht="12.75">
      <c r="H123"/>
      <c r="I123"/>
      <c r="L123"/>
      <c r="M123"/>
      <c r="N123"/>
      <c r="O123"/>
    </row>
    <row r="124" spans="8:15" ht="12.75">
      <c r="H124"/>
      <c r="I124"/>
      <c r="L124"/>
      <c r="M124"/>
      <c r="N124"/>
      <c r="O124"/>
    </row>
    <row r="125" spans="8:15" ht="12.75">
      <c r="H125"/>
      <c r="I125"/>
      <c r="L125"/>
      <c r="M125"/>
      <c r="N125"/>
      <c r="O125"/>
    </row>
    <row r="126" spans="8:15" ht="12.75">
      <c r="H126"/>
      <c r="I126"/>
      <c r="L126"/>
      <c r="M126"/>
      <c r="N126"/>
      <c r="O126"/>
    </row>
    <row r="127" spans="8:15" ht="12.75">
      <c r="H127"/>
      <c r="I127"/>
      <c r="L127"/>
      <c r="M127"/>
      <c r="N127"/>
      <c r="O127"/>
    </row>
    <row r="128" spans="8:15" ht="12.75">
      <c r="H128"/>
      <c r="I128"/>
      <c r="L128"/>
      <c r="M128"/>
      <c r="N128"/>
      <c r="O128"/>
    </row>
    <row r="129" spans="8:15" ht="12.75">
      <c r="H129"/>
      <c r="I129"/>
      <c r="L129"/>
      <c r="M129"/>
      <c r="N129"/>
      <c r="O129"/>
    </row>
    <row r="130" spans="8:15" ht="12.75">
      <c r="H130"/>
      <c r="I130"/>
      <c r="L130"/>
      <c r="M130"/>
      <c r="N130"/>
      <c r="O130"/>
    </row>
    <row r="131" spans="8:15" ht="12.75">
      <c r="H131"/>
      <c r="I131"/>
      <c r="L131"/>
      <c r="M131"/>
      <c r="N131"/>
      <c r="O131"/>
    </row>
    <row r="132" spans="8:15" ht="12.75">
      <c r="H132"/>
      <c r="I132"/>
      <c r="L132"/>
      <c r="M132"/>
      <c r="N132"/>
      <c r="O132"/>
    </row>
    <row r="133" spans="8:15" ht="12.75">
      <c r="H133"/>
      <c r="I133"/>
      <c r="L133"/>
      <c r="M133"/>
      <c r="N133"/>
      <c r="O133"/>
    </row>
    <row r="134" spans="8:15" ht="12.75">
      <c r="H134"/>
      <c r="I134"/>
      <c r="L134"/>
      <c r="M134"/>
      <c r="N134"/>
      <c r="O134"/>
    </row>
    <row r="135" spans="8:15" ht="12.75">
      <c r="H135"/>
      <c r="I135"/>
      <c r="L135"/>
      <c r="M135"/>
      <c r="N135"/>
      <c r="O135"/>
    </row>
    <row r="136" spans="8:15" ht="12.75">
      <c r="H136"/>
      <c r="I136"/>
      <c r="L136"/>
      <c r="M136"/>
      <c r="N136"/>
      <c r="O136"/>
    </row>
    <row r="137" spans="8:15" ht="12.75">
      <c r="H137"/>
      <c r="I137"/>
      <c r="L137"/>
      <c r="M137"/>
      <c r="N137"/>
      <c r="O137"/>
    </row>
    <row r="138" spans="8:15" ht="12.75">
      <c r="H138"/>
      <c r="I138"/>
      <c r="L138"/>
      <c r="M138"/>
      <c r="N138"/>
      <c r="O138"/>
    </row>
    <row r="139" spans="8:15" ht="12.75">
      <c r="H139"/>
      <c r="I139"/>
      <c r="L139"/>
      <c r="M139"/>
      <c r="N139"/>
      <c r="O139"/>
    </row>
    <row r="140" spans="8:15" ht="12.75">
      <c r="H140"/>
      <c r="I140"/>
      <c r="L140"/>
      <c r="M140"/>
      <c r="N140"/>
      <c r="O140"/>
    </row>
    <row r="141" spans="8:15" ht="12.75">
      <c r="H141"/>
      <c r="I141"/>
      <c r="L141"/>
      <c r="M141"/>
      <c r="N141"/>
      <c r="O141"/>
    </row>
    <row r="142" spans="8:15" ht="12.75">
      <c r="H142"/>
      <c r="I142"/>
      <c r="L142"/>
      <c r="M142"/>
      <c r="N142"/>
      <c r="O142"/>
    </row>
    <row r="143" spans="8:15" ht="12.75">
      <c r="H143"/>
      <c r="I143"/>
      <c r="L143"/>
      <c r="M143"/>
      <c r="N143"/>
      <c r="O143"/>
    </row>
    <row r="144" spans="8:15" ht="12.75">
      <c r="H144"/>
      <c r="I144"/>
      <c r="L144"/>
      <c r="M144"/>
      <c r="N144"/>
      <c r="O144"/>
    </row>
    <row r="145" spans="8:15" ht="12.75">
      <c r="H145"/>
      <c r="I145"/>
      <c r="L145"/>
      <c r="M145"/>
      <c r="N145"/>
      <c r="O145"/>
    </row>
    <row r="146" spans="8:15" ht="12.75">
      <c r="H146"/>
      <c r="I146"/>
      <c r="L146"/>
      <c r="M146"/>
      <c r="N146"/>
      <c r="O146"/>
    </row>
  </sheetData>
  <sheetProtection password="CAB9" sheet="1" formatColumns="0"/>
  <dataValidations count="2">
    <dataValidation type="list" allowBlank="1" showInputMessage="1" showErrorMessage="1" prompt="1 = innerhalb Landwirtschaft (Lw)&#10;2 = ausserhalb Lw (angestellt oder Lohnarbeit)&#10;3 = ausserhalb Lw (Regie)&#10;" sqref="L21">
      <formula1>$A$25:$A$27</formula1>
    </dataValidation>
    <dataValidation type="list" allowBlank="1" showInputMessage="1" showErrorMessage="1" prompt="1 = Service pour un autre agriculteur&#10;2 = Service en dehors de l'agri. (employé ou travail salarié)&#10;3 = en dehors de l'agric. (Regie)&#10;" sqref="D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r:id="rId2"/>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7"/>
  <sheetViews>
    <sheetView zoomScale="75" zoomScaleNormal="75" zoomScalePageLayoutView="0" workbookViewId="0" topLeftCell="A1">
      <pane xSplit="3" topLeftCell="D1" activePane="topRight" state="frozen"/>
      <selection pane="topLeft" activeCell="A589" sqref="A589"/>
      <selection pane="topRight" activeCell="AI33" sqref="AI33"/>
    </sheetView>
  </sheetViews>
  <sheetFormatPr defaultColWidth="11.421875" defaultRowHeight="12" customHeight="1"/>
  <cols>
    <col min="1" max="1" width="7.8515625" style="141" customWidth="1"/>
    <col min="2" max="2" width="1.7109375" style="142" customWidth="1"/>
    <col min="3" max="3" width="63.28125" style="143" customWidth="1"/>
    <col min="4" max="4" width="13.57421875" style="145" customWidth="1"/>
    <col min="5" max="5" width="12.00390625" style="145" customWidth="1"/>
    <col min="6" max="6" width="11.140625" style="146" customWidth="1"/>
    <col min="7" max="7" width="14.00390625" style="147" customWidth="1"/>
    <col min="8" max="8" width="11.28125" style="151" customWidth="1"/>
    <col min="9" max="9" width="12.00390625" style="151" customWidth="1"/>
    <col min="10" max="10" width="12.7109375" style="145" customWidth="1"/>
    <col min="11" max="12" width="8.7109375" style="145" customWidth="1"/>
    <col min="13" max="13" width="13.00390625" style="145" customWidth="1"/>
    <col min="14" max="14" width="11.140625" style="152" customWidth="1"/>
    <col min="15" max="15" width="9.00390625" style="153" customWidth="1"/>
    <col min="16" max="16" width="9.7109375" style="145" customWidth="1"/>
    <col min="17" max="17" width="10.57421875" style="145" hidden="1" customWidth="1"/>
    <col min="18" max="18" width="11.57421875" style="151" hidden="1" customWidth="1"/>
    <col min="19" max="19" width="9.28125" style="151" hidden="1" customWidth="1"/>
    <col min="20" max="20" width="10.7109375" style="147" customWidth="1"/>
    <col min="21" max="21" width="13.421875" style="151" hidden="1" customWidth="1"/>
    <col min="22" max="22" width="11.00390625" style="151" customWidth="1"/>
    <col min="23" max="23" width="9.421875" style="151" customWidth="1"/>
    <col min="24" max="24" width="11.140625" style="151" hidden="1" customWidth="1"/>
    <col min="25" max="25" width="14.421875" style="147" customWidth="1"/>
    <col min="26" max="27" width="14.421875" style="285" customWidth="1"/>
    <col min="28" max="28" width="10.421875" style="217" hidden="1" customWidth="1"/>
    <col min="29" max="29" width="13.28125" style="148" hidden="1" customWidth="1"/>
    <col min="30" max="32" width="11.421875" style="138" hidden="1" customWidth="1"/>
    <col min="33" max="35" width="11.421875" style="138" customWidth="1"/>
    <col min="36" max="16384" width="11.421875" style="138" customWidth="1"/>
  </cols>
  <sheetData>
    <row r="1" ht="12" customHeight="1" hidden="1"/>
    <row r="2" spans="2:29" ht="12" customHeight="1" hidden="1">
      <c r="B2" s="154"/>
      <c r="K2" s="144"/>
      <c r="X2" s="144"/>
      <c r="AB2" s="218"/>
      <c r="AC2" s="221"/>
    </row>
    <row r="3" spans="1:29" s="139" customFormat="1" ht="28.5" hidden="1">
      <c r="A3" s="155"/>
      <c r="B3" s="156"/>
      <c r="C3" s="157" t="s">
        <v>149</v>
      </c>
      <c r="D3" s="146"/>
      <c r="E3" s="146"/>
      <c r="F3" s="146"/>
      <c r="G3" s="147"/>
      <c r="H3" s="143"/>
      <c r="I3" s="143"/>
      <c r="J3" s="146"/>
      <c r="K3" s="146"/>
      <c r="L3" s="146"/>
      <c r="M3" s="146"/>
      <c r="N3" s="158"/>
      <c r="O3" s="159"/>
      <c r="P3" s="146"/>
      <c r="Q3" s="146"/>
      <c r="R3" s="147"/>
      <c r="S3" s="147"/>
      <c r="T3" s="147"/>
      <c r="U3" s="147"/>
      <c r="V3" s="147"/>
      <c r="W3" s="147"/>
      <c r="X3" s="147"/>
      <c r="Y3" s="147"/>
      <c r="Z3" s="285"/>
      <c r="AA3" s="285"/>
      <c r="AB3" s="219"/>
      <c r="AC3" s="149"/>
    </row>
    <row r="4" spans="2:29" ht="15" hidden="1">
      <c r="B4" s="154"/>
      <c r="AB4" s="218"/>
      <c r="AC4" s="221"/>
    </row>
    <row r="5" spans="1:29" s="140" customFormat="1" ht="8.25" customHeight="1">
      <c r="A5" s="160"/>
      <c r="B5" s="161"/>
      <c r="C5" s="162"/>
      <c r="D5" s="163"/>
      <c r="E5" s="163"/>
      <c r="F5" s="164"/>
      <c r="G5" s="165"/>
      <c r="H5" s="166"/>
      <c r="I5" s="167"/>
      <c r="J5" s="163"/>
      <c r="K5" s="163"/>
      <c r="L5" s="168"/>
      <c r="M5" s="169"/>
      <c r="N5" s="163"/>
      <c r="O5" s="170"/>
      <c r="P5" s="168"/>
      <c r="Q5" s="169"/>
      <c r="R5" s="171"/>
      <c r="S5" s="166"/>
      <c r="T5" s="165"/>
      <c r="U5" s="167"/>
      <c r="V5" s="171"/>
      <c r="W5" s="166"/>
      <c r="X5" s="166"/>
      <c r="Y5" s="172"/>
      <c r="Z5" s="165"/>
      <c r="AA5" s="165"/>
      <c r="AB5" s="220"/>
      <c r="AC5" s="150"/>
    </row>
    <row r="6" spans="3:27" ht="14.25" customHeight="1">
      <c r="C6" s="789" t="s">
        <v>1266</v>
      </c>
      <c r="D6" s="174" t="s">
        <v>1268</v>
      </c>
      <c r="E6" s="174" t="s">
        <v>1274</v>
      </c>
      <c r="F6" s="1307" t="s">
        <v>1275</v>
      </c>
      <c r="G6" s="1308"/>
      <c r="H6" s="1308"/>
      <c r="I6" s="1309"/>
      <c r="J6" s="173" t="s">
        <v>1281</v>
      </c>
      <c r="K6" s="173" t="s">
        <v>1282</v>
      </c>
      <c r="L6" s="1315" t="s">
        <v>1290</v>
      </c>
      <c r="M6" s="1316"/>
      <c r="N6" s="175" t="s">
        <v>45</v>
      </c>
      <c r="O6" s="174" t="s">
        <v>1298</v>
      </c>
      <c r="P6" s="1317"/>
      <c r="Q6" s="1309"/>
      <c r="R6" s="176" t="s">
        <v>375</v>
      </c>
      <c r="S6" s="177"/>
      <c r="T6" s="178" t="s">
        <v>1381</v>
      </c>
      <c r="U6" s="179"/>
      <c r="V6" s="1307" t="s">
        <v>11</v>
      </c>
      <c r="W6" s="1308"/>
      <c r="X6" s="1308"/>
      <c r="Y6" s="1309"/>
      <c r="Z6" s="284"/>
      <c r="AA6" s="284"/>
    </row>
    <row r="7" spans="3:27" ht="28.5">
      <c r="C7" s="789" t="s">
        <v>1267</v>
      </c>
      <c r="D7" s="174" t="s">
        <v>1269</v>
      </c>
      <c r="E7" s="791" t="s">
        <v>1276</v>
      </c>
      <c r="F7" s="1310"/>
      <c r="G7" s="1308"/>
      <c r="H7" s="1308"/>
      <c r="I7" s="1309"/>
      <c r="J7" s="173" t="s">
        <v>1283</v>
      </c>
      <c r="K7" s="173" t="s">
        <v>1284</v>
      </c>
      <c r="L7" s="174"/>
      <c r="M7" s="173"/>
      <c r="N7" s="175" t="s">
        <v>1295</v>
      </c>
      <c r="O7" s="286" t="s">
        <v>45</v>
      </c>
      <c r="P7" s="181"/>
      <c r="Q7" s="180"/>
      <c r="R7" s="182"/>
      <c r="S7" s="183"/>
      <c r="T7" s="184" t="s">
        <v>1380</v>
      </c>
      <c r="U7" s="185"/>
      <c r="V7" s="182" t="s">
        <v>347</v>
      </c>
      <c r="W7" s="183"/>
      <c r="X7" s="183"/>
      <c r="Y7" s="186"/>
      <c r="Z7" s="184"/>
      <c r="AA7" s="184"/>
    </row>
    <row r="8" spans="3:27" ht="28.5">
      <c r="C8" s="187"/>
      <c r="D8" s="174" t="s">
        <v>1270</v>
      </c>
      <c r="E8" s="791" t="s">
        <v>1277</v>
      </c>
      <c r="F8" s="188"/>
      <c r="G8" s="792"/>
      <c r="H8" s="182"/>
      <c r="I8" s="793"/>
      <c r="J8" s="189" t="s">
        <v>1271</v>
      </c>
      <c r="K8" s="173" t="s">
        <v>1285</v>
      </c>
      <c r="L8" s="174" t="s">
        <v>1291</v>
      </c>
      <c r="M8" s="173" t="s">
        <v>1292</v>
      </c>
      <c r="N8" s="175" t="s">
        <v>1296</v>
      </c>
      <c r="O8" s="286" t="s">
        <v>1299</v>
      </c>
      <c r="P8" s="173" t="s">
        <v>1304</v>
      </c>
      <c r="Q8" s="173" t="s">
        <v>359</v>
      </c>
      <c r="R8" s="190" t="s">
        <v>167</v>
      </c>
      <c r="S8" s="190" t="s">
        <v>166</v>
      </c>
      <c r="T8" s="191" t="s">
        <v>168</v>
      </c>
      <c r="U8" s="190" t="s">
        <v>169</v>
      </c>
      <c r="V8" s="190" t="s">
        <v>1378</v>
      </c>
      <c r="W8" s="190" t="s">
        <v>61</v>
      </c>
      <c r="X8" s="190" t="s">
        <v>359</v>
      </c>
      <c r="Y8" s="191" t="s">
        <v>168</v>
      </c>
      <c r="Z8" s="184"/>
      <c r="AA8" s="184"/>
    </row>
    <row r="9" spans="3:27" ht="27" customHeight="1">
      <c r="C9" s="187"/>
      <c r="D9" s="174" t="s">
        <v>1271</v>
      </c>
      <c r="E9" s="791"/>
      <c r="F9" s="188"/>
      <c r="G9" s="176"/>
      <c r="H9" s="1311" t="s">
        <v>1278</v>
      </c>
      <c r="I9" s="1312"/>
      <c r="J9" s="173" t="s">
        <v>1286</v>
      </c>
      <c r="K9" s="173" t="s">
        <v>1287</v>
      </c>
      <c r="L9" s="174" t="s">
        <v>1293</v>
      </c>
      <c r="M9" s="173" t="s">
        <v>1302</v>
      </c>
      <c r="N9" s="175" t="s">
        <v>1297</v>
      </c>
      <c r="O9" s="286" t="s">
        <v>1300</v>
      </c>
      <c r="P9" s="173" t="s">
        <v>1305</v>
      </c>
      <c r="Q9" s="173"/>
      <c r="R9" s="190" t="s">
        <v>170</v>
      </c>
      <c r="S9" s="190" t="s">
        <v>171</v>
      </c>
      <c r="T9" s="191"/>
      <c r="U9" s="190"/>
      <c r="V9" s="190" t="s">
        <v>858</v>
      </c>
      <c r="W9" s="190" t="s">
        <v>1379</v>
      </c>
      <c r="X9" s="190"/>
      <c r="Y9" s="173"/>
      <c r="Z9" s="286"/>
      <c r="AA9" s="286"/>
    </row>
    <row r="10" spans="3:27" ht="28.5">
      <c r="C10" s="187"/>
      <c r="D10" s="174" t="s">
        <v>1272</v>
      </c>
      <c r="E10" s="791"/>
      <c r="F10" s="188"/>
      <c r="G10" s="176"/>
      <c r="H10" s="1313" t="s">
        <v>1279</v>
      </c>
      <c r="I10" s="1314"/>
      <c r="J10" s="173" t="s">
        <v>1273</v>
      </c>
      <c r="K10" s="173" t="s">
        <v>1288</v>
      </c>
      <c r="L10" s="174"/>
      <c r="M10" s="173" t="s">
        <v>1303</v>
      </c>
      <c r="N10" s="192"/>
      <c r="O10" s="286" t="s">
        <v>1301</v>
      </c>
      <c r="P10" s="173"/>
      <c r="Q10" s="173"/>
      <c r="R10" s="190"/>
      <c r="S10" s="190"/>
      <c r="T10" s="191"/>
      <c r="U10" s="190"/>
      <c r="V10" s="190"/>
      <c r="W10" s="190"/>
      <c r="X10" s="190"/>
      <c r="Y10" s="191"/>
      <c r="Z10" s="184"/>
      <c r="AA10" s="184"/>
    </row>
    <row r="11" spans="3:27" ht="28.5">
      <c r="C11" s="187"/>
      <c r="D11" s="174" t="s">
        <v>1273</v>
      </c>
      <c r="E11" s="174"/>
      <c r="F11" s="790" t="s">
        <v>1280</v>
      </c>
      <c r="G11" s="176" t="s">
        <v>1280</v>
      </c>
      <c r="H11" s="794" t="s">
        <v>389</v>
      </c>
      <c r="I11" s="794" t="s">
        <v>390</v>
      </c>
      <c r="J11" s="193"/>
      <c r="K11" s="173"/>
      <c r="L11" s="174"/>
      <c r="M11" s="173"/>
      <c r="N11" s="192"/>
      <c r="O11" s="173"/>
      <c r="P11" s="173"/>
      <c r="Q11" s="173"/>
      <c r="R11" s="190"/>
      <c r="S11" s="190"/>
      <c r="T11" s="191"/>
      <c r="U11" s="190"/>
      <c r="V11" s="190"/>
      <c r="W11" s="190"/>
      <c r="X11" s="190"/>
      <c r="Y11" s="191"/>
      <c r="Z11" s="184"/>
      <c r="AA11" s="184"/>
    </row>
    <row r="12" spans="3:29" ht="28.5">
      <c r="C12" s="187"/>
      <c r="D12" s="173"/>
      <c r="E12" s="174" t="s">
        <v>173</v>
      </c>
      <c r="F12" s="790" t="s">
        <v>180</v>
      </c>
      <c r="G12" s="757" t="s">
        <v>180</v>
      </c>
      <c r="H12" s="182" t="s">
        <v>1289</v>
      </c>
      <c r="I12" s="182" t="s">
        <v>1289</v>
      </c>
      <c r="J12" s="173" t="s">
        <v>82</v>
      </c>
      <c r="K12" s="173" t="s">
        <v>175</v>
      </c>
      <c r="L12" s="174" t="s">
        <v>1294</v>
      </c>
      <c r="M12" s="173" t="s">
        <v>82</v>
      </c>
      <c r="N12" s="192"/>
      <c r="O12" s="173"/>
      <c r="P12" s="173" t="s">
        <v>176</v>
      </c>
      <c r="Q12" s="173" t="s">
        <v>177</v>
      </c>
      <c r="R12" s="190" t="s">
        <v>178</v>
      </c>
      <c r="S12" s="190" t="s">
        <v>178</v>
      </c>
      <c r="T12" s="191" t="s">
        <v>178</v>
      </c>
      <c r="U12" s="190" t="s">
        <v>179</v>
      </c>
      <c r="V12" s="190" t="s">
        <v>179</v>
      </c>
      <c r="W12" s="190" t="s">
        <v>179</v>
      </c>
      <c r="X12" s="190" t="s">
        <v>179</v>
      </c>
      <c r="Y12" s="191" t="s">
        <v>179</v>
      </c>
      <c r="Z12" s="184" t="s">
        <v>482</v>
      </c>
      <c r="AA12" s="184" t="s">
        <v>179</v>
      </c>
      <c r="AC12" s="970" t="s">
        <v>1486</v>
      </c>
    </row>
    <row r="13" spans="1:31" ht="14.25" customHeight="1">
      <c r="A13" s="194"/>
      <c r="B13" s="195"/>
      <c r="C13" s="196">
        <v>1</v>
      </c>
      <c r="D13" s="197">
        <v>2</v>
      </c>
      <c r="E13" s="197">
        <v>3</v>
      </c>
      <c r="F13" s="197">
        <v>4</v>
      </c>
      <c r="G13" s="198">
        <v>5</v>
      </c>
      <c r="H13" s="198">
        <v>6</v>
      </c>
      <c r="I13" s="198">
        <v>7</v>
      </c>
      <c r="J13" s="197">
        <v>8</v>
      </c>
      <c r="K13" s="197">
        <v>9</v>
      </c>
      <c r="L13" s="197">
        <v>10</v>
      </c>
      <c r="M13" s="197">
        <v>11</v>
      </c>
      <c r="N13" s="199">
        <v>12</v>
      </c>
      <c r="O13" s="197">
        <v>13</v>
      </c>
      <c r="P13" s="197">
        <v>14</v>
      </c>
      <c r="Q13" s="197">
        <v>15</v>
      </c>
      <c r="R13" s="198">
        <v>16</v>
      </c>
      <c r="S13" s="198">
        <v>17</v>
      </c>
      <c r="T13" s="198">
        <v>18</v>
      </c>
      <c r="U13" s="198">
        <v>19</v>
      </c>
      <c r="V13" s="198">
        <v>20</v>
      </c>
      <c r="W13" s="198">
        <v>21</v>
      </c>
      <c r="X13" s="198">
        <v>22</v>
      </c>
      <c r="Y13" s="198">
        <v>23</v>
      </c>
      <c r="Z13" s="183"/>
      <c r="AA13" s="183"/>
      <c r="AB13" s="217" t="s">
        <v>452</v>
      </c>
      <c r="AC13" s="148" t="s">
        <v>172</v>
      </c>
      <c r="AD13" s="138" t="s">
        <v>174</v>
      </c>
      <c r="AE13" s="138" t="s">
        <v>227</v>
      </c>
    </row>
    <row r="14" spans="3:31" ht="14.25" customHeight="1">
      <c r="C14" s="143">
        <v>3</v>
      </c>
      <c r="D14" s="145">
        <v>4</v>
      </c>
      <c r="E14" s="145">
        <v>5</v>
      </c>
      <c r="F14" s="146">
        <v>6</v>
      </c>
      <c r="G14" s="147">
        <v>7</v>
      </c>
      <c r="H14" s="151">
        <v>8</v>
      </c>
      <c r="I14" s="151">
        <v>9</v>
      </c>
      <c r="J14" s="145">
        <v>10</v>
      </c>
      <c r="K14" s="145">
        <v>11</v>
      </c>
      <c r="L14" s="200">
        <v>12</v>
      </c>
      <c r="M14" s="145">
        <v>13</v>
      </c>
      <c r="N14" s="216">
        <v>14</v>
      </c>
      <c r="O14" s="153">
        <v>15</v>
      </c>
      <c r="P14" s="145">
        <v>16</v>
      </c>
      <c r="Q14" s="145">
        <v>17</v>
      </c>
      <c r="R14" s="151">
        <v>18</v>
      </c>
      <c r="S14" s="151">
        <v>19</v>
      </c>
      <c r="T14" s="147">
        <v>20</v>
      </c>
      <c r="U14" s="151">
        <v>21</v>
      </c>
      <c r="V14" s="151">
        <v>22</v>
      </c>
      <c r="W14" s="151">
        <v>23</v>
      </c>
      <c r="X14" s="151">
        <v>24</v>
      </c>
      <c r="Y14" s="147">
        <v>25</v>
      </c>
      <c r="Z14" s="285">
        <v>26</v>
      </c>
      <c r="AA14" s="285">
        <v>27</v>
      </c>
      <c r="AB14" s="287">
        <v>28</v>
      </c>
      <c r="AC14" s="288">
        <v>29</v>
      </c>
      <c r="AD14" s="138">
        <v>30</v>
      </c>
      <c r="AE14" s="138">
        <v>31</v>
      </c>
    </row>
    <row r="15" spans="1:33" ht="14.25">
      <c r="A15" s="758" t="s">
        <v>151</v>
      </c>
      <c r="B15" s="759"/>
      <c r="C15" s="760" t="s">
        <v>947</v>
      </c>
      <c r="D15" s="591"/>
      <c r="E15" s="591"/>
      <c r="F15" s="592"/>
      <c r="G15" s="593"/>
      <c r="H15" s="594"/>
      <c r="I15" s="594"/>
      <c r="J15" s="591"/>
      <c r="K15" s="595" t="s">
        <v>347</v>
      </c>
      <c r="L15" s="591"/>
      <c r="M15" s="591"/>
      <c r="N15" s="596"/>
      <c r="O15" s="591"/>
      <c r="P15" s="591"/>
      <c r="Q15" s="591"/>
      <c r="R15" s="597"/>
      <c r="S15" s="597"/>
      <c r="T15" s="598"/>
      <c r="U15" s="594"/>
      <c r="V15" s="594"/>
      <c r="W15" s="594"/>
      <c r="X15" s="594"/>
      <c r="Y15" s="599"/>
      <c r="Z15" s="600"/>
      <c r="AA15" s="601"/>
      <c r="AB15" s="602"/>
      <c r="AC15" s="594"/>
      <c r="AD15" s="602"/>
      <c r="AE15" s="602"/>
      <c r="AF15" s="602"/>
      <c r="AG15" s="138" t="s">
        <v>1179</v>
      </c>
    </row>
    <row r="16" spans="1:34" ht="14.25">
      <c r="A16" s="496"/>
      <c r="B16" s="761"/>
      <c r="C16" s="762"/>
      <c r="D16" s="496"/>
      <c r="E16" s="495"/>
      <c r="F16" s="495"/>
      <c r="G16" s="495"/>
      <c r="H16" s="495"/>
      <c r="I16" s="495"/>
      <c r="J16" s="495"/>
      <c r="K16" s="499"/>
      <c r="L16" s="495"/>
      <c r="M16" s="495"/>
      <c r="N16" s="500"/>
      <c r="O16" s="501"/>
      <c r="P16" s="495"/>
      <c r="Q16" s="495"/>
      <c r="R16" s="201"/>
      <c r="S16" s="499"/>
      <c r="T16" s="496"/>
      <c r="U16" s="495"/>
      <c r="V16" s="495"/>
      <c r="W16" s="495"/>
      <c r="X16" s="495"/>
      <c r="Y16" s="499"/>
      <c r="Z16" s="497"/>
      <c r="AA16" s="498"/>
      <c r="AB16" s="496"/>
      <c r="AC16" s="502"/>
      <c r="AD16" s="496"/>
      <c r="AE16" s="221"/>
      <c r="AF16" s="221"/>
      <c r="AG16" s="138" t="s">
        <v>1180</v>
      </c>
      <c r="AH16" s="138" t="s">
        <v>1181</v>
      </c>
    </row>
    <row r="17" spans="1:32" ht="14.25">
      <c r="A17" s="987">
        <v>1000</v>
      </c>
      <c r="B17" s="988"/>
      <c r="C17" s="989" t="s">
        <v>948</v>
      </c>
      <c r="D17" s="1021"/>
      <c r="E17" s="1022"/>
      <c r="F17" s="1023"/>
      <c r="G17" s="1024"/>
      <c r="H17" s="1025"/>
      <c r="I17" s="1025"/>
      <c r="J17" s="1026"/>
      <c r="K17" s="1026"/>
      <c r="L17" s="1021"/>
      <c r="M17" s="1026"/>
      <c r="N17" s="1263" t="s">
        <v>413</v>
      </c>
      <c r="O17" s="814"/>
      <c r="P17" s="809"/>
      <c r="Q17" s="603"/>
      <c r="R17" s="605" t="s">
        <v>413</v>
      </c>
      <c r="S17" s="606"/>
      <c r="T17" s="1276" t="s">
        <v>413</v>
      </c>
      <c r="U17" s="604"/>
      <c r="V17" s="1025"/>
      <c r="W17" s="1025"/>
      <c r="X17" s="604"/>
      <c r="Y17" s="819"/>
      <c r="Z17" s="820"/>
      <c r="AA17" s="821"/>
      <c r="AB17" s="822"/>
      <c r="AC17" s="938" t="s">
        <v>413</v>
      </c>
      <c r="AD17" s="822"/>
      <c r="AE17" s="822"/>
      <c r="AF17" s="801">
        <v>1000</v>
      </c>
    </row>
    <row r="18" spans="1:32" ht="14.25">
      <c r="A18" s="496"/>
      <c r="B18" s="761"/>
      <c r="C18" s="496"/>
      <c r="D18" s="508"/>
      <c r="E18" s="504"/>
      <c r="F18" s="509"/>
      <c r="G18" s="495"/>
      <c r="H18" s="506"/>
      <c r="I18" s="506"/>
      <c r="J18" s="764"/>
      <c r="K18" s="499"/>
      <c r="L18" s="496"/>
      <c r="M18" s="764"/>
      <c r="N18" s="500" t="s">
        <v>413</v>
      </c>
      <c r="O18" s="802"/>
      <c r="P18" s="810"/>
      <c r="Q18" s="507"/>
      <c r="R18" s="201" t="s">
        <v>413</v>
      </c>
      <c r="S18" s="201"/>
      <c r="T18" s="1277" t="s">
        <v>413</v>
      </c>
      <c r="U18" s="506"/>
      <c r="V18" s="506"/>
      <c r="W18" s="506"/>
      <c r="X18" s="506"/>
      <c r="Y18" s="823"/>
      <c r="Z18" s="824"/>
      <c r="AA18" s="825"/>
      <c r="AB18" s="802"/>
      <c r="AC18" s="939" t="s">
        <v>413</v>
      </c>
      <c r="AD18" s="802"/>
      <c r="AE18" s="826"/>
      <c r="AF18" s="802"/>
    </row>
    <row r="19" spans="1:34" ht="14.25">
      <c r="A19" s="990">
        <v>1001</v>
      </c>
      <c r="B19" s="991"/>
      <c r="C19" s="991" t="s">
        <v>949</v>
      </c>
      <c r="D19" s="1027">
        <v>33</v>
      </c>
      <c r="E19" s="1028">
        <v>40000</v>
      </c>
      <c r="F19" s="1029">
        <v>24</v>
      </c>
      <c r="G19" s="1030"/>
      <c r="H19" s="613">
        <v>22</v>
      </c>
      <c r="I19" s="613">
        <v>29</v>
      </c>
      <c r="J19" s="1031">
        <v>300</v>
      </c>
      <c r="K19" s="1032">
        <v>40</v>
      </c>
      <c r="L19" s="1251">
        <v>15</v>
      </c>
      <c r="M19" s="1232">
        <v>10000</v>
      </c>
      <c r="N19" s="1264">
        <v>0.25</v>
      </c>
      <c r="O19" s="815">
        <v>0.85</v>
      </c>
      <c r="P19" s="812">
        <v>48</v>
      </c>
      <c r="Q19" s="609">
        <v>0.04</v>
      </c>
      <c r="R19" s="610">
        <v>3203.5</v>
      </c>
      <c r="S19" s="610">
        <v>720</v>
      </c>
      <c r="T19" s="1278">
        <v>3884</v>
      </c>
      <c r="U19" s="608">
        <v>14.965</v>
      </c>
      <c r="V19" s="613">
        <v>3.4</v>
      </c>
      <c r="W19" s="613">
        <v>5.8212</v>
      </c>
      <c r="X19" s="608">
        <v>1.12</v>
      </c>
      <c r="Y19" s="827">
        <v>9.2212</v>
      </c>
      <c r="Z19" s="828">
        <v>24.384653333333336</v>
      </c>
      <c r="AA19" s="829"/>
      <c r="AB19" s="830"/>
      <c r="AC19" s="940">
        <v>560</v>
      </c>
      <c r="AD19" s="830" t="s">
        <v>483</v>
      </c>
      <c r="AE19" s="830">
        <v>1</v>
      </c>
      <c r="AF19" s="803">
        <v>1001</v>
      </c>
      <c r="AG19" s="138">
        <v>1021</v>
      </c>
      <c r="AH19" s="138">
        <v>1022</v>
      </c>
    </row>
    <row r="20" spans="1:34" ht="14.25">
      <c r="A20" s="154">
        <v>1002</v>
      </c>
      <c r="B20" s="992"/>
      <c r="C20" s="992" t="s">
        <v>950</v>
      </c>
      <c r="D20" s="503">
        <v>41</v>
      </c>
      <c r="E20" s="504">
        <v>52000</v>
      </c>
      <c r="F20" s="611">
        <v>30</v>
      </c>
      <c r="G20" s="1033"/>
      <c r="H20" s="506">
        <v>27</v>
      </c>
      <c r="I20" s="506">
        <v>36</v>
      </c>
      <c r="J20" s="764">
        <v>300</v>
      </c>
      <c r="K20" s="145">
        <v>40</v>
      </c>
      <c r="L20" s="492">
        <v>15</v>
      </c>
      <c r="M20" s="780">
        <v>10000</v>
      </c>
      <c r="N20" s="500">
        <v>0.25</v>
      </c>
      <c r="O20" s="788">
        <v>0.8</v>
      </c>
      <c r="P20" s="492">
        <v>53</v>
      </c>
      <c r="Q20" s="507">
        <v>0.04</v>
      </c>
      <c r="R20" s="201">
        <v>4097.5</v>
      </c>
      <c r="S20" s="201">
        <v>795</v>
      </c>
      <c r="T20" s="1277">
        <v>4783</v>
      </c>
      <c r="U20" s="506">
        <v>18.275</v>
      </c>
      <c r="V20" s="506">
        <v>4.16</v>
      </c>
      <c r="W20" s="506">
        <v>7.2324</v>
      </c>
      <c r="X20" s="506">
        <v>1.12</v>
      </c>
      <c r="Y20" s="823">
        <v>11.3924</v>
      </c>
      <c r="Z20" s="831">
        <v>30.06930666666667</v>
      </c>
      <c r="AA20" s="832"/>
      <c r="AB20" s="826"/>
      <c r="AC20" s="939">
        <v>584</v>
      </c>
      <c r="AD20" s="826" t="s">
        <v>483</v>
      </c>
      <c r="AE20" s="826">
        <v>1</v>
      </c>
      <c r="AF20" s="804">
        <v>1002</v>
      </c>
      <c r="AG20" s="138">
        <v>1021</v>
      </c>
      <c r="AH20" s="138">
        <v>1022</v>
      </c>
    </row>
    <row r="21" spans="1:34" ht="14.25">
      <c r="A21" s="990">
        <v>1003</v>
      </c>
      <c r="B21" s="991"/>
      <c r="C21" s="991" t="s">
        <v>951</v>
      </c>
      <c r="D21" s="1027">
        <v>50</v>
      </c>
      <c r="E21" s="1028">
        <v>63000</v>
      </c>
      <c r="F21" s="1029">
        <v>32</v>
      </c>
      <c r="G21" s="1030"/>
      <c r="H21" s="613">
        <v>29</v>
      </c>
      <c r="I21" s="613">
        <v>38</v>
      </c>
      <c r="J21" s="1031">
        <v>350</v>
      </c>
      <c r="K21" s="1032">
        <v>40</v>
      </c>
      <c r="L21" s="1251">
        <v>15</v>
      </c>
      <c r="M21" s="1232">
        <v>10000</v>
      </c>
      <c r="N21" s="1264">
        <v>0.25</v>
      </c>
      <c r="O21" s="815">
        <v>0.7</v>
      </c>
      <c r="P21" s="812">
        <v>60</v>
      </c>
      <c r="Q21" s="609">
        <v>0.04</v>
      </c>
      <c r="R21" s="610">
        <v>4842.5</v>
      </c>
      <c r="S21" s="610">
        <v>900</v>
      </c>
      <c r="T21" s="1278">
        <v>5638.5</v>
      </c>
      <c r="U21" s="608">
        <v>18.15</v>
      </c>
      <c r="V21" s="613">
        <v>4.409999999999999</v>
      </c>
      <c r="W21" s="613">
        <v>8.82</v>
      </c>
      <c r="X21" s="608">
        <v>1.12</v>
      </c>
      <c r="Y21" s="827">
        <v>13.23</v>
      </c>
      <c r="Z21" s="828">
        <v>32.274</v>
      </c>
      <c r="AA21" s="829"/>
      <c r="AB21" s="830"/>
      <c r="AC21" s="940">
        <v>606</v>
      </c>
      <c r="AD21" s="830" t="s">
        <v>483</v>
      </c>
      <c r="AE21" s="830">
        <v>1</v>
      </c>
      <c r="AF21" s="803">
        <v>1003</v>
      </c>
      <c r="AG21" s="138">
        <v>1021</v>
      </c>
      <c r="AH21" s="138">
        <v>1022</v>
      </c>
    </row>
    <row r="22" spans="1:34" ht="14.25">
      <c r="A22" s="154">
        <v>1004</v>
      </c>
      <c r="B22" s="992"/>
      <c r="C22" s="992" t="s">
        <v>952</v>
      </c>
      <c r="D22" s="503">
        <v>60</v>
      </c>
      <c r="E22" s="504">
        <v>74000</v>
      </c>
      <c r="F22" s="611">
        <v>36</v>
      </c>
      <c r="G22" s="1033"/>
      <c r="H22" s="506">
        <v>32</v>
      </c>
      <c r="I22" s="506">
        <v>43</v>
      </c>
      <c r="J22" s="764">
        <v>400</v>
      </c>
      <c r="K22" s="145">
        <v>40</v>
      </c>
      <c r="L22" s="492">
        <v>15</v>
      </c>
      <c r="M22" s="780">
        <v>10000</v>
      </c>
      <c r="N22" s="500">
        <v>0.1</v>
      </c>
      <c r="O22" s="788">
        <v>0.6</v>
      </c>
      <c r="P22" s="492">
        <v>65</v>
      </c>
      <c r="Q22" s="507">
        <v>0.04</v>
      </c>
      <c r="R22" s="201">
        <v>6344.8</v>
      </c>
      <c r="S22" s="201">
        <v>975</v>
      </c>
      <c r="T22" s="1277">
        <v>7097</v>
      </c>
      <c r="U22" s="506">
        <v>19.8845</v>
      </c>
      <c r="V22" s="506">
        <v>4.44</v>
      </c>
      <c r="W22" s="506">
        <v>10.584</v>
      </c>
      <c r="X22" s="506">
        <v>1.12</v>
      </c>
      <c r="Y22" s="823">
        <v>15.024000000000001</v>
      </c>
      <c r="Z22" s="831">
        <v>36.043150000000004</v>
      </c>
      <c r="AA22" s="832"/>
      <c r="AB22" s="826"/>
      <c r="AC22" s="939">
        <v>628</v>
      </c>
      <c r="AD22" s="826" t="s">
        <v>483</v>
      </c>
      <c r="AE22" s="826">
        <v>1</v>
      </c>
      <c r="AF22" s="804">
        <v>1004</v>
      </c>
      <c r="AG22" s="138">
        <v>1021</v>
      </c>
      <c r="AH22" s="138">
        <v>1022</v>
      </c>
    </row>
    <row r="23" spans="1:34" ht="14.25">
      <c r="A23" s="990">
        <v>1005</v>
      </c>
      <c r="B23" s="991"/>
      <c r="C23" s="991" t="s">
        <v>953</v>
      </c>
      <c r="D23" s="1027">
        <v>70</v>
      </c>
      <c r="E23" s="1028">
        <v>90000</v>
      </c>
      <c r="F23" s="1029">
        <v>40</v>
      </c>
      <c r="G23" s="1030"/>
      <c r="H23" s="613">
        <v>35</v>
      </c>
      <c r="I23" s="613">
        <v>46</v>
      </c>
      <c r="J23" s="1031">
        <v>450</v>
      </c>
      <c r="K23" s="1032">
        <v>40</v>
      </c>
      <c r="L23" s="1251">
        <v>15</v>
      </c>
      <c r="M23" s="1232">
        <v>10000</v>
      </c>
      <c r="N23" s="1264">
        <v>0.1</v>
      </c>
      <c r="O23" s="815">
        <v>0.55</v>
      </c>
      <c r="P23" s="812">
        <v>70</v>
      </c>
      <c r="Q23" s="609">
        <v>0.04</v>
      </c>
      <c r="R23" s="610">
        <v>7498.4</v>
      </c>
      <c r="S23" s="610">
        <v>1050</v>
      </c>
      <c r="T23" s="1278">
        <v>8410</v>
      </c>
      <c r="U23" s="608">
        <v>20.467555555555556</v>
      </c>
      <c r="V23" s="613">
        <v>4.95</v>
      </c>
      <c r="W23" s="613">
        <v>12.348</v>
      </c>
      <c r="X23" s="608">
        <v>1.12</v>
      </c>
      <c r="Y23" s="827">
        <v>17.298000000000002</v>
      </c>
      <c r="Z23" s="828">
        <v>39.585577777777786</v>
      </c>
      <c r="AA23" s="829"/>
      <c r="AB23" s="830"/>
      <c r="AC23" s="940">
        <v>660</v>
      </c>
      <c r="AD23" s="830" t="s">
        <v>483</v>
      </c>
      <c r="AE23" s="830">
        <v>1</v>
      </c>
      <c r="AF23" s="803">
        <v>1005</v>
      </c>
      <c r="AG23" s="138">
        <v>1023</v>
      </c>
      <c r="AH23" s="138">
        <v>1024</v>
      </c>
    </row>
    <row r="24" spans="1:34" ht="14.25">
      <c r="A24" s="154">
        <v>1006</v>
      </c>
      <c r="B24" s="992"/>
      <c r="C24" s="992" t="s">
        <v>954</v>
      </c>
      <c r="D24" s="503">
        <v>82</v>
      </c>
      <c r="E24" s="504">
        <v>110000</v>
      </c>
      <c r="F24" s="611">
        <v>44</v>
      </c>
      <c r="G24" s="1033"/>
      <c r="H24" s="506">
        <v>39</v>
      </c>
      <c r="I24" s="506">
        <v>51</v>
      </c>
      <c r="J24" s="764">
        <v>500</v>
      </c>
      <c r="K24" s="145">
        <v>40</v>
      </c>
      <c r="L24" s="492">
        <v>15</v>
      </c>
      <c r="M24" s="780">
        <v>10000</v>
      </c>
      <c r="N24" s="500">
        <v>0.1</v>
      </c>
      <c r="O24" s="788">
        <v>0.45</v>
      </c>
      <c r="P24" s="492">
        <v>82</v>
      </c>
      <c r="Q24" s="507">
        <v>0.05</v>
      </c>
      <c r="R24" s="201">
        <v>9228.8</v>
      </c>
      <c r="S24" s="201">
        <v>1230</v>
      </c>
      <c r="T24" s="1277">
        <v>10126</v>
      </c>
      <c r="U24" s="506">
        <v>22.325599999999998</v>
      </c>
      <c r="V24" s="506">
        <v>4.95</v>
      </c>
      <c r="W24" s="506">
        <v>14.4648</v>
      </c>
      <c r="X24" s="506">
        <v>1.4000000000000001</v>
      </c>
      <c r="Y24" s="823">
        <v>19.4148</v>
      </c>
      <c r="Z24" s="831">
        <v>43.63348</v>
      </c>
      <c r="AA24" s="832"/>
      <c r="AB24" s="826"/>
      <c r="AC24" s="939">
        <v>700</v>
      </c>
      <c r="AD24" s="826" t="s">
        <v>483</v>
      </c>
      <c r="AE24" s="826">
        <v>1</v>
      </c>
      <c r="AF24" s="804">
        <v>1006</v>
      </c>
      <c r="AG24" s="138">
        <v>1023</v>
      </c>
      <c r="AH24" s="138">
        <v>1024</v>
      </c>
    </row>
    <row r="25" spans="1:34" ht="14.25">
      <c r="A25" s="990">
        <v>1010</v>
      </c>
      <c r="B25" s="991" t="s">
        <v>1501</v>
      </c>
      <c r="C25" s="991" t="s">
        <v>955</v>
      </c>
      <c r="D25" s="1027">
        <v>97</v>
      </c>
      <c r="E25" s="1028">
        <v>139000</v>
      </c>
      <c r="F25" s="1029">
        <v>53</v>
      </c>
      <c r="G25" s="1030"/>
      <c r="H25" s="613">
        <v>48</v>
      </c>
      <c r="I25" s="613">
        <v>62</v>
      </c>
      <c r="J25" s="1031">
        <v>500</v>
      </c>
      <c r="K25" s="1032">
        <v>40</v>
      </c>
      <c r="L25" s="1251">
        <v>15</v>
      </c>
      <c r="M25" s="1232">
        <v>10000</v>
      </c>
      <c r="N25" s="1264">
        <v>0.1</v>
      </c>
      <c r="O25" s="815">
        <v>0.45</v>
      </c>
      <c r="P25" s="812">
        <v>85</v>
      </c>
      <c r="Q25" s="609">
        <v>0.05</v>
      </c>
      <c r="R25" s="610">
        <v>10464.8</v>
      </c>
      <c r="S25" s="610">
        <v>1275</v>
      </c>
      <c r="T25" s="1278">
        <v>12427</v>
      </c>
      <c r="U25" s="608">
        <v>24.947599999999998</v>
      </c>
      <c r="V25" s="613">
        <v>6.255</v>
      </c>
      <c r="W25" s="613">
        <v>17.1108</v>
      </c>
      <c r="X25" s="608">
        <v>1.4000000000000001</v>
      </c>
      <c r="Y25" s="827">
        <v>23.3658</v>
      </c>
      <c r="Z25" s="828">
        <v>53.04178</v>
      </c>
      <c r="AA25" s="829"/>
      <c r="AB25" s="830"/>
      <c r="AC25" s="940">
        <v>758</v>
      </c>
      <c r="AD25" s="830" t="s">
        <v>483</v>
      </c>
      <c r="AE25" s="830">
        <v>1</v>
      </c>
      <c r="AF25" s="803">
        <v>1010</v>
      </c>
      <c r="AG25" s="138">
        <v>1023</v>
      </c>
      <c r="AH25" s="138">
        <v>1024</v>
      </c>
    </row>
    <row r="26" spans="1:34" ht="14.25">
      <c r="A26" s="154">
        <v>1011</v>
      </c>
      <c r="B26" s="992" t="s">
        <v>1501</v>
      </c>
      <c r="C26" s="992" t="s">
        <v>956</v>
      </c>
      <c r="D26" s="503">
        <v>115</v>
      </c>
      <c r="E26" s="504">
        <v>163000</v>
      </c>
      <c r="F26" s="611">
        <v>59</v>
      </c>
      <c r="G26" s="1033"/>
      <c r="H26" s="506"/>
      <c r="I26" s="506">
        <v>69</v>
      </c>
      <c r="J26" s="764">
        <v>550</v>
      </c>
      <c r="K26" s="145">
        <v>40</v>
      </c>
      <c r="L26" s="492">
        <v>15</v>
      </c>
      <c r="M26" s="780">
        <v>10000</v>
      </c>
      <c r="N26" s="500">
        <v>0.1</v>
      </c>
      <c r="O26" s="788">
        <v>0.45</v>
      </c>
      <c r="P26" s="492">
        <v>87</v>
      </c>
      <c r="Q26" s="507">
        <v>0.05</v>
      </c>
      <c r="R26" s="201">
        <v>12112.8</v>
      </c>
      <c r="S26" s="201">
        <v>1305</v>
      </c>
      <c r="T26" s="1277">
        <v>14325</v>
      </c>
      <c r="U26" s="506">
        <v>25.803272727272727</v>
      </c>
      <c r="V26" s="506">
        <v>7.335000000000001</v>
      </c>
      <c r="W26" s="506">
        <v>20.286</v>
      </c>
      <c r="X26" s="506">
        <v>1.4000000000000001</v>
      </c>
      <c r="Y26" s="823">
        <v>27.621000000000002</v>
      </c>
      <c r="Z26" s="831">
        <v>59.03310000000001</v>
      </c>
      <c r="AA26" s="832"/>
      <c r="AB26" s="826"/>
      <c r="AC26" s="939">
        <v>806</v>
      </c>
      <c r="AD26" s="826" t="s">
        <v>483</v>
      </c>
      <c r="AE26" s="826">
        <v>1</v>
      </c>
      <c r="AF26" s="804">
        <v>1011</v>
      </c>
      <c r="AG26" s="138">
        <v>1023</v>
      </c>
      <c r="AH26" s="138">
        <v>1024</v>
      </c>
    </row>
    <row r="27" spans="1:34" ht="14.25">
      <c r="A27" s="990">
        <v>1012</v>
      </c>
      <c r="B27" s="991" t="s">
        <v>1501</v>
      </c>
      <c r="C27" s="991" t="s">
        <v>957</v>
      </c>
      <c r="D27" s="1027">
        <v>137</v>
      </c>
      <c r="E27" s="1028">
        <v>188000</v>
      </c>
      <c r="F27" s="1029">
        <v>69</v>
      </c>
      <c r="G27" s="1030"/>
      <c r="H27" s="613"/>
      <c r="I27" s="613">
        <v>80</v>
      </c>
      <c r="J27" s="1031">
        <v>550</v>
      </c>
      <c r="K27" s="1032">
        <v>40</v>
      </c>
      <c r="L27" s="1251">
        <v>15</v>
      </c>
      <c r="M27" s="1232">
        <v>10000</v>
      </c>
      <c r="N27" s="1264">
        <v>0.1</v>
      </c>
      <c r="O27" s="815">
        <v>0.45</v>
      </c>
      <c r="P27" s="812">
        <v>95</v>
      </c>
      <c r="Q27" s="609">
        <v>0.05</v>
      </c>
      <c r="R27" s="610">
        <v>14749.6</v>
      </c>
      <c r="S27" s="610">
        <v>1425</v>
      </c>
      <c r="T27" s="1278">
        <v>16379</v>
      </c>
      <c r="U27" s="608">
        <v>30.932</v>
      </c>
      <c r="V27" s="613">
        <v>8.46</v>
      </c>
      <c r="W27" s="613">
        <v>24.166800000000002</v>
      </c>
      <c r="X27" s="608">
        <v>1.4000000000000001</v>
      </c>
      <c r="Y27" s="827">
        <v>32.6268</v>
      </c>
      <c r="Z27" s="828">
        <v>68.64748000000002</v>
      </c>
      <c r="AA27" s="829"/>
      <c r="AB27" s="830"/>
      <c r="AC27" s="940">
        <v>856</v>
      </c>
      <c r="AD27" s="830" t="s">
        <v>483</v>
      </c>
      <c r="AE27" s="830">
        <v>1</v>
      </c>
      <c r="AF27" s="803">
        <v>1012</v>
      </c>
      <c r="AG27" s="138">
        <v>1023</v>
      </c>
      <c r="AH27" s="138">
        <v>1024</v>
      </c>
    </row>
    <row r="28" spans="1:34" ht="14.25">
      <c r="A28" s="154">
        <v>1013</v>
      </c>
      <c r="B28" s="992" t="s">
        <v>1501</v>
      </c>
      <c r="C28" s="992" t="s">
        <v>958</v>
      </c>
      <c r="D28" s="503">
        <v>175</v>
      </c>
      <c r="E28" s="504">
        <v>244000</v>
      </c>
      <c r="F28" s="611">
        <v>87</v>
      </c>
      <c r="G28" s="1033"/>
      <c r="H28" s="506"/>
      <c r="I28" s="506">
        <v>100</v>
      </c>
      <c r="J28" s="764">
        <v>600</v>
      </c>
      <c r="K28" s="145">
        <v>40</v>
      </c>
      <c r="L28" s="492">
        <v>15</v>
      </c>
      <c r="M28" s="780">
        <v>10000</v>
      </c>
      <c r="N28" s="500">
        <v>0</v>
      </c>
      <c r="O28" s="788">
        <v>0.45</v>
      </c>
      <c r="P28" s="492">
        <v>105</v>
      </c>
      <c r="Q28" s="507">
        <v>0.05</v>
      </c>
      <c r="R28" s="201">
        <v>20338.666666666664</v>
      </c>
      <c r="S28" s="201">
        <v>1575</v>
      </c>
      <c r="T28" s="1277">
        <v>22259.666666666664</v>
      </c>
      <c r="U28" s="506">
        <v>38.09611111111111</v>
      </c>
      <c r="V28" s="506">
        <v>10.98</v>
      </c>
      <c r="W28" s="506">
        <v>30.87</v>
      </c>
      <c r="X28" s="506">
        <v>1.4000000000000001</v>
      </c>
      <c r="Y28" s="823">
        <v>41.85</v>
      </c>
      <c r="Z28" s="831">
        <v>86.84438888888889</v>
      </c>
      <c r="AA28" s="832"/>
      <c r="AB28" s="826"/>
      <c r="AC28" s="939">
        <v>968</v>
      </c>
      <c r="AD28" s="826" t="s">
        <v>483</v>
      </c>
      <c r="AE28" s="826">
        <v>1</v>
      </c>
      <c r="AF28" s="804">
        <v>1013</v>
      </c>
      <c r="AG28" s="138">
        <v>1023</v>
      </c>
      <c r="AH28" s="138">
        <v>1024</v>
      </c>
    </row>
    <row r="29" spans="1:34" ht="14.25">
      <c r="A29" s="990">
        <v>1014</v>
      </c>
      <c r="B29" s="991" t="s">
        <v>1501</v>
      </c>
      <c r="C29" s="991" t="s">
        <v>1193</v>
      </c>
      <c r="D29" s="1027">
        <v>225</v>
      </c>
      <c r="E29" s="1028">
        <v>306000</v>
      </c>
      <c r="F29" s="1029">
        <v>109</v>
      </c>
      <c r="G29" s="1030"/>
      <c r="H29" s="613"/>
      <c r="I29" s="613">
        <v>126</v>
      </c>
      <c r="J29" s="1031">
        <v>600</v>
      </c>
      <c r="K29" s="1032">
        <v>40</v>
      </c>
      <c r="L29" s="1251">
        <v>15</v>
      </c>
      <c r="M29" s="1232">
        <v>10000</v>
      </c>
      <c r="N29" s="1264">
        <v>0</v>
      </c>
      <c r="O29" s="815">
        <v>0.45</v>
      </c>
      <c r="P29" s="812">
        <v>105</v>
      </c>
      <c r="Q29" s="609">
        <v>0.05</v>
      </c>
      <c r="R29" s="610">
        <v>26300</v>
      </c>
      <c r="S29" s="610">
        <v>1575</v>
      </c>
      <c r="T29" s="1278">
        <v>27447</v>
      </c>
      <c r="U29" s="608">
        <v>48.25833333333333</v>
      </c>
      <c r="V29" s="613">
        <v>13.770000000000001</v>
      </c>
      <c r="W29" s="613">
        <v>39.69</v>
      </c>
      <c r="X29" s="608">
        <v>1.4000000000000001</v>
      </c>
      <c r="Y29" s="827">
        <v>53.46</v>
      </c>
      <c r="Z29" s="828">
        <v>109.1255</v>
      </c>
      <c r="AA29" s="829"/>
      <c r="AB29" s="830"/>
      <c r="AC29" s="940">
        <v>1092</v>
      </c>
      <c r="AD29" s="830" t="s">
        <v>483</v>
      </c>
      <c r="AE29" s="830">
        <v>1</v>
      </c>
      <c r="AF29" s="803">
        <v>1014</v>
      </c>
      <c r="AG29" s="138">
        <v>1023</v>
      </c>
      <c r="AH29" s="138">
        <v>1024</v>
      </c>
    </row>
    <row r="30" spans="1:32" ht="14.25">
      <c r="A30" s="154"/>
      <c r="B30" s="992"/>
      <c r="C30" s="992"/>
      <c r="D30" s="503"/>
      <c r="E30" s="504"/>
      <c r="F30" s="505"/>
      <c r="G30" s="1033"/>
      <c r="H30" s="506"/>
      <c r="I30" s="506"/>
      <c r="J30" s="764"/>
      <c r="L30" s="492"/>
      <c r="M30" s="780"/>
      <c r="N30" s="500"/>
      <c r="O30" s="788" t="s">
        <v>413</v>
      </c>
      <c r="P30" s="492"/>
      <c r="Q30" s="507"/>
      <c r="R30" s="201"/>
      <c r="S30" s="201"/>
      <c r="T30" s="1277" t="s">
        <v>413</v>
      </c>
      <c r="U30" s="506"/>
      <c r="V30" s="506"/>
      <c r="W30" s="506"/>
      <c r="X30" s="506"/>
      <c r="Y30" s="823" t="s">
        <v>413</v>
      </c>
      <c r="Z30" s="831"/>
      <c r="AA30" s="832"/>
      <c r="AB30" s="826"/>
      <c r="AC30" s="939"/>
      <c r="AD30" s="826" t="s">
        <v>413</v>
      </c>
      <c r="AE30" s="826"/>
      <c r="AF30" s="804"/>
    </row>
    <row r="31" spans="1:32" ht="14.25">
      <c r="A31" s="987">
        <v>1020</v>
      </c>
      <c r="B31" s="988"/>
      <c r="C31" s="989" t="s">
        <v>511</v>
      </c>
      <c r="D31" s="1021"/>
      <c r="E31" s="1022"/>
      <c r="F31" s="1023"/>
      <c r="G31" s="1024"/>
      <c r="H31" s="1025"/>
      <c r="I31" s="1025"/>
      <c r="J31" s="1026"/>
      <c r="K31" s="1026"/>
      <c r="L31" s="1021"/>
      <c r="M31" s="1026"/>
      <c r="N31" s="1263" t="s">
        <v>413</v>
      </c>
      <c r="O31" s="816" t="s">
        <v>413</v>
      </c>
      <c r="P31" s="809"/>
      <c r="Q31" s="603"/>
      <c r="R31" s="605" t="s">
        <v>413</v>
      </c>
      <c r="S31" s="606"/>
      <c r="T31" s="1276" t="s">
        <v>413</v>
      </c>
      <c r="U31" s="604"/>
      <c r="V31" s="1025"/>
      <c r="W31" s="1025"/>
      <c r="X31" s="604"/>
      <c r="Y31" s="833" t="s">
        <v>413</v>
      </c>
      <c r="Z31" s="820"/>
      <c r="AA31" s="821"/>
      <c r="AB31" s="822"/>
      <c r="AC31" s="938" t="s">
        <v>413</v>
      </c>
      <c r="AD31" s="822" t="s">
        <v>413</v>
      </c>
      <c r="AE31" s="822"/>
      <c r="AF31" s="801">
        <v>1020</v>
      </c>
    </row>
    <row r="32" spans="1:32" ht="14.25">
      <c r="A32" s="496"/>
      <c r="B32" s="761"/>
      <c r="C32" s="761"/>
      <c r="D32" s="204"/>
      <c r="E32" s="203"/>
      <c r="F32" s="765"/>
      <c r="G32" s="495"/>
      <c r="H32" s="506"/>
      <c r="I32" s="506"/>
      <c r="J32" s="764"/>
      <c r="K32" s="499"/>
      <c r="L32" s="495"/>
      <c r="M32" s="764"/>
      <c r="N32" s="500" t="s">
        <v>413</v>
      </c>
      <c r="O32" s="788" t="s">
        <v>413</v>
      </c>
      <c r="P32" s="811"/>
      <c r="Q32" s="507"/>
      <c r="R32" s="201" t="s">
        <v>413</v>
      </c>
      <c r="S32" s="201"/>
      <c r="T32" s="1279" t="s">
        <v>413</v>
      </c>
      <c r="U32" s="506"/>
      <c r="V32" s="1284"/>
      <c r="W32" s="1284"/>
      <c r="X32" s="506"/>
      <c r="Y32" s="823" t="s">
        <v>413</v>
      </c>
      <c r="Z32" s="834"/>
      <c r="AA32" s="832"/>
      <c r="AB32" s="811"/>
      <c r="AC32" s="941" t="s">
        <v>413</v>
      </c>
      <c r="AD32" s="835" t="s">
        <v>413</v>
      </c>
      <c r="AE32" s="835"/>
      <c r="AF32" s="802"/>
    </row>
    <row r="33" spans="1:32" ht="28.5">
      <c r="A33" s="990">
        <v>1021</v>
      </c>
      <c r="B33" s="991"/>
      <c r="C33" s="991" t="s">
        <v>959</v>
      </c>
      <c r="D33" s="1034" t="s">
        <v>347</v>
      </c>
      <c r="E33" s="1028">
        <v>2800</v>
      </c>
      <c r="F33" s="1035">
        <v>2.7</v>
      </c>
      <c r="G33" s="1030"/>
      <c r="H33" s="613">
        <v>2.3</v>
      </c>
      <c r="I33" s="613">
        <v>3.3</v>
      </c>
      <c r="J33" s="1031">
        <v>150</v>
      </c>
      <c r="K33" s="1032" t="s">
        <v>347</v>
      </c>
      <c r="L33" s="1251">
        <v>18</v>
      </c>
      <c r="M33" s="1232">
        <v>4000</v>
      </c>
      <c r="N33" s="1264">
        <v>0</v>
      </c>
      <c r="O33" s="815">
        <v>1.2</v>
      </c>
      <c r="P33" s="812">
        <v>6</v>
      </c>
      <c r="Q33" s="609">
        <v>0.02</v>
      </c>
      <c r="R33" s="610">
        <v>222.01111111111112</v>
      </c>
      <c r="S33" s="610">
        <v>42</v>
      </c>
      <c r="T33" s="1278">
        <v>239.15555555555554</v>
      </c>
      <c r="U33" s="608">
        <v>1.798740740740741</v>
      </c>
      <c r="V33" s="613">
        <v>0.84</v>
      </c>
      <c r="W33" s="613"/>
      <c r="X33" s="608">
        <v>0.56</v>
      </c>
      <c r="Y33" s="827">
        <v>0.84</v>
      </c>
      <c r="Z33" s="828">
        <v>2.6778074074074074</v>
      </c>
      <c r="AA33" s="829"/>
      <c r="AB33" s="830"/>
      <c r="AC33" s="940">
        <v>5.6000000000000005</v>
      </c>
      <c r="AD33" s="830" t="s">
        <v>483</v>
      </c>
      <c r="AE33" s="830">
        <v>0</v>
      </c>
      <c r="AF33" s="803">
        <v>1021</v>
      </c>
    </row>
    <row r="34" spans="1:32" ht="28.5">
      <c r="A34" s="154">
        <v>1022</v>
      </c>
      <c r="B34" s="992"/>
      <c r="C34" s="992" t="s">
        <v>960</v>
      </c>
      <c r="D34" s="508" t="s">
        <v>347</v>
      </c>
      <c r="E34" s="504">
        <v>4400</v>
      </c>
      <c r="F34" s="612">
        <v>3.8</v>
      </c>
      <c r="G34" s="1033"/>
      <c r="H34" s="506">
        <v>3.2</v>
      </c>
      <c r="I34" s="506">
        <v>4.7</v>
      </c>
      <c r="J34" s="764">
        <v>150</v>
      </c>
      <c r="K34" s="145" t="s">
        <v>347</v>
      </c>
      <c r="L34" s="492">
        <v>18</v>
      </c>
      <c r="M34" s="780">
        <v>4000</v>
      </c>
      <c r="N34" s="500">
        <v>0</v>
      </c>
      <c r="O34" s="788">
        <v>0.9</v>
      </c>
      <c r="P34" s="492">
        <v>8</v>
      </c>
      <c r="Q34" s="507">
        <v>0.02</v>
      </c>
      <c r="R34" s="201">
        <v>321.53333333333336</v>
      </c>
      <c r="S34" s="201">
        <v>56</v>
      </c>
      <c r="T34" s="1277">
        <v>367.24444444444447</v>
      </c>
      <c r="U34" s="506">
        <v>2.572888888888889</v>
      </c>
      <c r="V34" s="506">
        <v>0.9900000000000001</v>
      </c>
      <c r="W34" s="506"/>
      <c r="X34" s="506">
        <v>0.56</v>
      </c>
      <c r="Y34" s="823">
        <v>0.9900000000000001</v>
      </c>
      <c r="Z34" s="831">
        <v>3.782125925925927</v>
      </c>
      <c r="AA34" s="832"/>
      <c r="AB34" s="826"/>
      <c r="AC34" s="939">
        <v>8.8</v>
      </c>
      <c r="AD34" s="826" t="s">
        <v>483</v>
      </c>
      <c r="AE34" s="826">
        <v>0</v>
      </c>
      <c r="AF34" s="804">
        <v>1022</v>
      </c>
    </row>
    <row r="35" spans="1:32" ht="28.5">
      <c r="A35" s="990">
        <v>1023</v>
      </c>
      <c r="B35" s="991"/>
      <c r="C35" s="991" t="s">
        <v>1194</v>
      </c>
      <c r="D35" s="1034" t="s">
        <v>347</v>
      </c>
      <c r="E35" s="1028">
        <v>3700</v>
      </c>
      <c r="F35" s="1035">
        <v>3.3</v>
      </c>
      <c r="G35" s="1030"/>
      <c r="H35" s="613">
        <v>2.8</v>
      </c>
      <c r="I35" s="613">
        <v>4</v>
      </c>
      <c r="J35" s="1031">
        <v>150</v>
      </c>
      <c r="K35" s="1032" t="s">
        <v>347</v>
      </c>
      <c r="L35" s="1251">
        <v>18</v>
      </c>
      <c r="M35" s="1232">
        <v>4000</v>
      </c>
      <c r="N35" s="1264">
        <v>0</v>
      </c>
      <c r="O35" s="815">
        <v>1</v>
      </c>
      <c r="P35" s="812">
        <v>6</v>
      </c>
      <c r="Q35" s="609">
        <v>0.02</v>
      </c>
      <c r="R35" s="610">
        <v>283.25555555555553</v>
      </c>
      <c r="S35" s="610">
        <v>42</v>
      </c>
      <c r="T35" s="1278">
        <v>304.4555555555555</v>
      </c>
      <c r="U35" s="608">
        <v>2.2177037037037035</v>
      </c>
      <c r="V35" s="613">
        <v>0.925</v>
      </c>
      <c r="W35" s="613"/>
      <c r="X35" s="608">
        <v>0.56</v>
      </c>
      <c r="Y35" s="827">
        <v>0.925</v>
      </c>
      <c r="Z35" s="828">
        <v>3.2501740740740743</v>
      </c>
      <c r="AA35" s="829"/>
      <c r="AB35" s="830"/>
      <c r="AC35" s="940">
        <v>7.4</v>
      </c>
      <c r="AD35" s="830" t="s">
        <v>483</v>
      </c>
      <c r="AE35" s="830">
        <v>0</v>
      </c>
      <c r="AF35" s="803">
        <v>1023</v>
      </c>
    </row>
    <row r="36" spans="1:32" ht="28.5">
      <c r="A36" s="154">
        <v>1024</v>
      </c>
      <c r="B36" s="992"/>
      <c r="C36" s="992" t="s">
        <v>1195</v>
      </c>
      <c r="D36" s="508" t="s">
        <v>347</v>
      </c>
      <c r="E36" s="504">
        <v>5000</v>
      </c>
      <c r="F36" s="612">
        <v>4.1</v>
      </c>
      <c r="G36" s="1033"/>
      <c r="H36" s="506">
        <v>3.5</v>
      </c>
      <c r="I36" s="506">
        <v>5.1</v>
      </c>
      <c r="J36" s="764">
        <v>150</v>
      </c>
      <c r="K36" s="145" t="s">
        <v>347</v>
      </c>
      <c r="L36" s="492">
        <v>18</v>
      </c>
      <c r="M36" s="780">
        <v>4000</v>
      </c>
      <c r="N36" s="500">
        <v>0</v>
      </c>
      <c r="O36" s="788">
        <v>0.8</v>
      </c>
      <c r="P36" s="492">
        <v>8</v>
      </c>
      <c r="Q36" s="507">
        <v>0.02</v>
      </c>
      <c r="R36" s="201">
        <v>390.4333333333333</v>
      </c>
      <c r="S36" s="201">
        <v>56</v>
      </c>
      <c r="T36" s="1277">
        <v>410.77777777777777</v>
      </c>
      <c r="U36" s="506">
        <v>3.044222222222222</v>
      </c>
      <c r="V36" s="506">
        <v>1</v>
      </c>
      <c r="W36" s="506"/>
      <c r="X36" s="506">
        <v>0.56</v>
      </c>
      <c r="Y36" s="823">
        <v>1</v>
      </c>
      <c r="Z36" s="831">
        <v>4.11237037037037</v>
      </c>
      <c r="AA36" s="832"/>
      <c r="AB36" s="826"/>
      <c r="AC36" s="939">
        <v>10</v>
      </c>
      <c r="AD36" s="826" t="s">
        <v>483</v>
      </c>
      <c r="AE36" s="826">
        <v>0</v>
      </c>
      <c r="AF36" s="804">
        <v>1024</v>
      </c>
    </row>
    <row r="37" spans="1:32" ht="14.25">
      <c r="A37" s="990">
        <v>1025</v>
      </c>
      <c r="B37" s="991"/>
      <c r="C37" s="991" t="s">
        <v>512</v>
      </c>
      <c r="D37" s="1034" t="s">
        <v>347</v>
      </c>
      <c r="E37" s="1028">
        <v>9100</v>
      </c>
      <c r="F37" s="1035">
        <v>2.5</v>
      </c>
      <c r="G37" s="1030"/>
      <c r="H37" s="613">
        <v>2.2</v>
      </c>
      <c r="I37" s="613">
        <v>3.1</v>
      </c>
      <c r="J37" s="1031">
        <v>400</v>
      </c>
      <c r="K37" s="1032" t="s">
        <v>347</v>
      </c>
      <c r="L37" s="1251">
        <v>18</v>
      </c>
      <c r="M37" s="1232">
        <v>10000</v>
      </c>
      <c r="N37" s="1264">
        <v>0.1</v>
      </c>
      <c r="O37" s="815">
        <v>0.8</v>
      </c>
      <c r="P37" s="812">
        <v>1</v>
      </c>
      <c r="Q37" s="614">
        <v>0</v>
      </c>
      <c r="R37" s="615">
        <v>695.04</v>
      </c>
      <c r="S37" s="615">
        <v>7</v>
      </c>
      <c r="T37" s="1278">
        <v>624.8</v>
      </c>
      <c r="U37" s="613">
        <v>1.8031</v>
      </c>
      <c r="V37" s="613">
        <v>0.7280000000000001</v>
      </c>
      <c r="W37" s="613"/>
      <c r="X37" s="613">
        <v>0</v>
      </c>
      <c r="Y37" s="827">
        <v>0.7280000000000001</v>
      </c>
      <c r="Z37" s="828">
        <v>2.519</v>
      </c>
      <c r="AA37" s="829"/>
      <c r="AB37" s="830"/>
      <c r="AC37" s="940">
        <v>18.2</v>
      </c>
      <c r="AD37" s="830" t="s">
        <v>483</v>
      </c>
      <c r="AE37" s="830">
        <v>0</v>
      </c>
      <c r="AF37" s="803">
        <v>1025</v>
      </c>
    </row>
    <row r="38" spans="1:32" ht="14.25">
      <c r="A38" s="496"/>
      <c r="B38" s="761"/>
      <c r="C38" s="761"/>
      <c r="D38" s="204"/>
      <c r="E38" s="203"/>
      <c r="F38" s="765"/>
      <c r="G38" s="495"/>
      <c r="H38" s="506"/>
      <c r="I38" s="506"/>
      <c r="J38" s="764"/>
      <c r="K38" s="499"/>
      <c r="L38" s="495"/>
      <c r="M38" s="764"/>
      <c r="N38" s="500" t="s">
        <v>413</v>
      </c>
      <c r="O38" s="788" t="s">
        <v>413</v>
      </c>
      <c r="P38" s="811"/>
      <c r="Q38" s="507"/>
      <c r="R38" s="201" t="s">
        <v>413</v>
      </c>
      <c r="S38" s="201"/>
      <c r="T38" s="1279" t="s">
        <v>413</v>
      </c>
      <c r="U38" s="506"/>
      <c r="V38" s="1284"/>
      <c r="W38" s="1284"/>
      <c r="X38" s="506"/>
      <c r="Y38" s="823" t="s">
        <v>413</v>
      </c>
      <c r="Z38" s="834"/>
      <c r="AA38" s="832"/>
      <c r="AB38" s="811"/>
      <c r="AC38" s="941" t="s">
        <v>413</v>
      </c>
      <c r="AD38" s="835" t="s">
        <v>413</v>
      </c>
      <c r="AE38" s="835"/>
      <c r="AF38" s="802"/>
    </row>
    <row r="39" spans="1:32" ht="14.25">
      <c r="A39" s="987">
        <v>1030</v>
      </c>
      <c r="B39" s="988" t="s">
        <v>1501</v>
      </c>
      <c r="C39" s="989" t="s">
        <v>490</v>
      </c>
      <c r="D39" s="1021"/>
      <c r="E39" s="1022"/>
      <c r="F39" s="1023"/>
      <c r="G39" s="1024"/>
      <c r="H39" s="1025"/>
      <c r="I39" s="1025"/>
      <c r="J39" s="1026"/>
      <c r="K39" s="1026"/>
      <c r="L39" s="1021"/>
      <c r="M39" s="1026"/>
      <c r="N39" s="1263" t="s">
        <v>413</v>
      </c>
      <c r="O39" s="816" t="s">
        <v>413</v>
      </c>
      <c r="P39" s="809"/>
      <c r="Q39" s="603"/>
      <c r="R39" s="605" t="s">
        <v>413</v>
      </c>
      <c r="S39" s="606"/>
      <c r="T39" s="1276" t="s">
        <v>413</v>
      </c>
      <c r="U39" s="604"/>
      <c r="V39" s="1025"/>
      <c r="W39" s="1025"/>
      <c r="X39" s="604"/>
      <c r="Y39" s="833" t="s">
        <v>413</v>
      </c>
      <c r="Z39" s="820"/>
      <c r="AA39" s="821"/>
      <c r="AB39" s="822"/>
      <c r="AC39" s="938" t="s">
        <v>413</v>
      </c>
      <c r="AD39" s="822" t="s">
        <v>413</v>
      </c>
      <c r="AE39" s="822"/>
      <c r="AF39" s="801">
        <v>1030</v>
      </c>
    </row>
    <row r="40" spans="1:32" ht="14.25">
      <c r="A40" s="496"/>
      <c r="B40" s="761"/>
      <c r="C40" s="496"/>
      <c r="D40" s="508"/>
      <c r="E40" s="504"/>
      <c r="F40" s="509"/>
      <c r="G40" s="496"/>
      <c r="H40" s="506"/>
      <c r="I40" s="506"/>
      <c r="J40" s="764"/>
      <c r="K40" s="495"/>
      <c r="L40" s="496"/>
      <c r="M40" s="764"/>
      <c r="N40" s="500" t="s">
        <v>413</v>
      </c>
      <c r="O40" s="788" t="s">
        <v>413</v>
      </c>
      <c r="P40" s="810"/>
      <c r="Q40" s="507"/>
      <c r="R40" s="201" t="s">
        <v>413</v>
      </c>
      <c r="S40" s="201"/>
      <c r="T40" s="1277" t="s">
        <v>413</v>
      </c>
      <c r="U40" s="506"/>
      <c r="V40" s="506"/>
      <c r="W40" s="506"/>
      <c r="X40" s="506"/>
      <c r="Y40" s="823" t="s">
        <v>413</v>
      </c>
      <c r="Z40" s="831"/>
      <c r="AA40" s="832"/>
      <c r="AB40" s="802"/>
      <c r="AC40" s="939" t="s">
        <v>413</v>
      </c>
      <c r="AD40" s="826" t="s">
        <v>413</v>
      </c>
      <c r="AE40" s="826"/>
      <c r="AF40" s="802"/>
    </row>
    <row r="41" spans="1:32" ht="14.25">
      <c r="A41" s="990">
        <v>1032</v>
      </c>
      <c r="B41" s="991" t="s">
        <v>1501</v>
      </c>
      <c r="C41" s="993" t="s">
        <v>491</v>
      </c>
      <c r="D41" s="1027">
        <v>90</v>
      </c>
      <c r="E41" s="1028">
        <v>274000</v>
      </c>
      <c r="F41" s="1029">
        <v>86</v>
      </c>
      <c r="G41" s="1030"/>
      <c r="H41" s="613"/>
      <c r="I41" s="613">
        <v>101</v>
      </c>
      <c r="J41" s="1031">
        <v>600</v>
      </c>
      <c r="K41" s="1032">
        <v>50</v>
      </c>
      <c r="L41" s="1251">
        <v>15</v>
      </c>
      <c r="M41" s="1232">
        <v>10000</v>
      </c>
      <c r="N41" s="1264">
        <v>0</v>
      </c>
      <c r="O41" s="815">
        <v>0.65</v>
      </c>
      <c r="P41" s="812">
        <v>70</v>
      </c>
      <c r="Q41" s="609">
        <v>0.05</v>
      </c>
      <c r="R41" s="610">
        <v>22793.333333333332</v>
      </c>
      <c r="S41" s="610">
        <v>1050</v>
      </c>
      <c r="T41" s="1278">
        <v>24314.666666666668</v>
      </c>
      <c r="U41" s="608">
        <v>41.40555555555555</v>
      </c>
      <c r="V41" s="613">
        <v>17.81</v>
      </c>
      <c r="W41" s="613">
        <v>19.845</v>
      </c>
      <c r="X41" s="608">
        <v>1.4000000000000001</v>
      </c>
      <c r="Y41" s="827">
        <v>37.655</v>
      </c>
      <c r="Z41" s="828">
        <v>85.99738888888889</v>
      </c>
      <c r="AA41" s="829"/>
      <c r="AB41" s="830"/>
      <c r="AC41" s="940">
        <v>1028</v>
      </c>
      <c r="AD41" s="830" t="s">
        <v>483</v>
      </c>
      <c r="AE41" s="830">
        <v>1</v>
      </c>
      <c r="AF41" s="803">
        <v>1032</v>
      </c>
    </row>
    <row r="42" spans="1:32" ht="14.25">
      <c r="A42" s="496"/>
      <c r="B42" s="761"/>
      <c r="C42" s="496"/>
      <c r="D42" s="508"/>
      <c r="E42" s="504"/>
      <c r="F42" s="509"/>
      <c r="G42" s="496"/>
      <c r="H42" s="506"/>
      <c r="I42" s="506"/>
      <c r="J42" s="764"/>
      <c r="K42" s="495"/>
      <c r="L42" s="496"/>
      <c r="M42" s="764"/>
      <c r="N42" s="500" t="s">
        <v>413</v>
      </c>
      <c r="O42" s="788" t="s">
        <v>413</v>
      </c>
      <c r="P42" s="810"/>
      <c r="Q42" s="507"/>
      <c r="R42" s="201" t="s">
        <v>413</v>
      </c>
      <c r="S42" s="201"/>
      <c r="T42" s="1277" t="s">
        <v>413</v>
      </c>
      <c r="U42" s="506"/>
      <c r="V42" s="506"/>
      <c r="W42" s="506"/>
      <c r="X42" s="506"/>
      <c r="Y42" s="823" t="s">
        <v>413</v>
      </c>
      <c r="Z42" s="831"/>
      <c r="AA42" s="832"/>
      <c r="AB42" s="802"/>
      <c r="AC42" s="939" t="s">
        <v>413</v>
      </c>
      <c r="AD42" s="826" t="s">
        <v>413</v>
      </c>
      <c r="AE42" s="826"/>
      <c r="AF42" s="802"/>
    </row>
    <row r="43" spans="1:32" ht="14.25">
      <c r="A43" s="987">
        <v>1040</v>
      </c>
      <c r="B43" s="988"/>
      <c r="C43" s="989" t="s">
        <v>492</v>
      </c>
      <c r="D43" s="1021"/>
      <c r="E43" s="1022"/>
      <c r="F43" s="1023"/>
      <c r="G43" s="1024"/>
      <c r="H43" s="1025"/>
      <c r="I43" s="1025"/>
      <c r="J43" s="1026"/>
      <c r="K43" s="1026"/>
      <c r="L43" s="1021"/>
      <c r="M43" s="1026"/>
      <c r="N43" s="1263" t="s">
        <v>413</v>
      </c>
      <c r="O43" s="816" t="s">
        <v>413</v>
      </c>
      <c r="P43" s="809"/>
      <c r="Q43" s="603"/>
      <c r="R43" s="605" t="s">
        <v>413</v>
      </c>
      <c r="S43" s="606"/>
      <c r="T43" s="1276" t="s">
        <v>413</v>
      </c>
      <c r="U43" s="604"/>
      <c r="V43" s="1025"/>
      <c r="W43" s="1025"/>
      <c r="X43" s="604"/>
      <c r="Y43" s="833" t="s">
        <v>413</v>
      </c>
      <c r="Z43" s="820"/>
      <c r="AA43" s="821"/>
      <c r="AB43" s="822"/>
      <c r="AC43" s="938" t="s">
        <v>413</v>
      </c>
      <c r="AD43" s="822" t="s">
        <v>413</v>
      </c>
      <c r="AE43" s="822"/>
      <c r="AF43" s="801">
        <v>1040</v>
      </c>
    </row>
    <row r="44" spans="1:32" ht="14.25">
      <c r="A44" s="496"/>
      <c r="B44" s="761"/>
      <c r="C44" s="496"/>
      <c r="D44" s="508"/>
      <c r="E44" s="504"/>
      <c r="F44" s="509"/>
      <c r="G44" s="496"/>
      <c r="H44" s="506"/>
      <c r="I44" s="506"/>
      <c r="J44" s="764"/>
      <c r="K44" s="495"/>
      <c r="L44" s="496"/>
      <c r="M44" s="764"/>
      <c r="N44" s="500" t="s">
        <v>413</v>
      </c>
      <c r="O44" s="788" t="s">
        <v>413</v>
      </c>
      <c r="P44" s="810"/>
      <c r="Q44" s="507"/>
      <c r="R44" s="201" t="s">
        <v>413</v>
      </c>
      <c r="S44" s="201"/>
      <c r="T44" s="1277" t="s">
        <v>413</v>
      </c>
      <c r="U44" s="506"/>
      <c r="V44" s="506"/>
      <c r="W44" s="506"/>
      <c r="X44" s="506"/>
      <c r="Y44" s="823" t="s">
        <v>413</v>
      </c>
      <c r="Z44" s="831"/>
      <c r="AA44" s="832"/>
      <c r="AB44" s="802"/>
      <c r="AC44" s="939" t="s">
        <v>413</v>
      </c>
      <c r="AD44" s="826" t="s">
        <v>413</v>
      </c>
      <c r="AE44" s="826"/>
      <c r="AF44" s="802"/>
    </row>
    <row r="45" spans="1:32" ht="14.25">
      <c r="A45" s="994">
        <v>1043</v>
      </c>
      <c r="B45" s="991"/>
      <c r="C45" s="991" t="s">
        <v>961</v>
      </c>
      <c r="D45" s="1027">
        <v>30</v>
      </c>
      <c r="E45" s="1028">
        <v>43000</v>
      </c>
      <c r="F45" s="1029">
        <v>32</v>
      </c>
      <c r="G45" s="1030"/>
      <c r="H45" s="613">
        <v>28</v>
      </c>
      <c r="I45" s="613">
        <v>39</v>
      </c>
      <c r="J45" s="1031">
        <v>200</v>
      </c>
      <c r="K45" s="1032">
        <v>40</v>
      </c>
      <c r="L45" s="1251">
        <v>15</v>
      </c>
      <c r="M45" s="1232">
        <v>10000</v>
      </c>
      <c r="N45" s="1264">
        <v>0.25</v>
      </c>
      <c r="O45" s="815">
        <v>1.15</v>
      </c>
      <c r="P45" s="812">
        <v>24</v>
      </c>
      <c r="Q45" s="609">
        <v>0.05</v>
      </c>
      <c r="R45" s="610">
        <v>3129</v>
      </c>
      <c r="S45" s="610">
        <v>345</v>
      </c>
      <c r="T45" s="1278">
        <v>3780.5</v>
      </c>
      <c r="U45" s="608">
        <v>16.152</v>
      </c>
      <c r="V45" s="613">
        <v>4.944999999999999</v>
      </c>
      <c r="W45" s="613">
        <v>5.292</v>
      </c>
      <c r="X45" s="608">
        <v>1.4000000000000001</v>
      </c>
      <c r="Y45" s="827">
        <v>10.236999999999998</v>
      </c>
      <c r="Z45" s="828">
        <v>32.05345</v>
      </c>
      <c r="AA45" s="829"/>
      <c r="AB45" s="830"/>
      <c r="AC45" s="940">
        <v>566</v>
      </c>
      <c r="AD45" s="830" t="s">
        <v>483</v>
      </c>
      <c r="AE45" s="830">
        <v>1</v>
      </c>
      <c r="AF45" s="803">
        <v>1043</v>
      </c>
    </row>
    <row r="46" spans="1:32" ht="14.25">
      <c r="A46" s="154">
        <v>1044</v>
      </c>
      <c r="B46" s="992"/>
      <c r="C46" s="992" t="s">
        <v>962</v>
      </c>
      <c r="D46" s="503">
        <v>45</v>
      </c>
      <c r="E46" s="504">
        <v>62000</v>
      </c>
      <c r="F46" s="611">
        <v>38</v>
      </c>
      <c r="G46" s="1033"/>
      <c r="H46" s="506">
        <v>34</v>
      </c>
      <c r="I46" s="506">
        <v>46</v>
      </c>
      <c r="J46" s="764">
        <v>250</v>
      </c>
      <c r="K46" s="145">
        <v>40</v>
      </c>
      <c r="L46" s="492">
        <v>15</v>
      </c>
      <c r="M46" s="780">
        <v>10000</v>
      </c>
      <c r="N46" s="500">
        <v>0.25</v>
      </c>
      <c r="O46" s="788">
        <v>1</v>
      </c>
      <c r="P46" s="492">
        <v>29</v>
      </c>
      <c r="Q46" s="507">
        <v>0.05</v>
      </c>
      <c r="R46" s="201">
        <v>3874</v>
      </c>
      <c r="S46" s="201">
        <v>435</v>
      </c>
      <c r="T46" s="1277">
        <v>5166</v>
      </c>
      <c r="U46" s="506">
        <v>16.31</v>
      </c>
      <c r="V46" s="506">
        <v>6.2</v>
      </c>
      <c r="W46" s="506">
        <v>7.938000000000001</v>
      </c>
      <c r="X46" s="506">
        <v>1.4000000000000001</v>
      </c>
      <c r="Y46" s="823">
        <v>14.138000000000002</v>
      </c>
      <c r="Z46" s="831">
        <v>38.28220000000001</v>
      </c>
      <c r="AA46" s="832"/>
      <c r="AB46" s="826"/>
      <c r="AC46" s="939">
        <v>604</v>
      </c>
      <c r="AD46" s="826" t="s">
        <v>483</v>
      </c>
      <c r="AE46" s="826">
        <v>1</v>
      </c>
      <c r="AF46" s="804">
        <v>1044</v>
      </c>
    </row>
    <row r="47" spans="1:32" ht="14.25">
      <c r="A47" s="994">
        <v>1045</v>
      </c>
      <c r="B47" s="991"/>
      <c r="C47" s="991" t="s">
        <v>963</v>
      </c>
      <c r="D47" s="1027">
        <v>55</v>
      </c>
      <c r="E47" s="1028">
        <v>73000</v>
      </c>
      <c r="F47" s="1029">
        <v>44</v>
      </c>
      <c r="G47" s="1030"/>
      <c r="H47" s="613">
        <v>39</v>
      </c>
      <c r="I47" s="613">
        <v>53</v>
      </c>
      <c r="J47" s="1031">
        <v>250</v>
      </c>
      <c r="K47" s="1032">
        <v>40</v>
      </c>
      <c r="L47" s="1251">
        <v>15</v>
      </c>
      <c r="M47" s="1232">
        <v>10000</v>
      </c>
      <c r="N47" s="1264">
        <v>0.25</v>
      </c>
      <c r="O47" s="815">
        <v>0.85</v>
      </c>
      <c r="P47" s="812">
        <v>40</v>
      </c>
      <c r="Q47" s="609">
        <v>0.05</v>
      </c>
      <c r="R47" s="610">
        <v>3427</v>
      </c>
      <c r="S47" s="610">
        <v>360</v>
      </c>
      <c r="T47" s="1278">
        <v>6073.5</v>
      </c>
      <c r="U47" s="608">
        <v>17.436</v>
      </c>
      <c r="V47" s="613">
        <v>6.205</v>
      </c>
      <c r="W47" s="613">
        <v>9.702</v>
      </c>
      <c r="X47" s="608">
        <v>1.4000000000000001</v>
      </c>
      <c r="Y47" s="827">
        <v>15.907</v>
      </c>
      <c r="Z47" s="828">
        <v>44.22110000000001</v>
      </c>
      <c r="AA47" s="829"/>
      <c r="AB47" s="830"/>
      <c r="AC47" s="940">
        <v>626</v>
      </c>
      <c r="AD47" s="830" t="s">
        <v>483</v>
      </c>
      <c r="AE47" s="830">
        <v>1</v>
      </c>
      <c r="AF47" s="803">
        <v>1045</v>
      </c>
    </row>
    <row r="48" spans="1:32" ht="14.25">
      <c r="A48" s="154">
        <v>1046</v>
      </c>
      <c r="B48" s="992"/>
      <c r="C48" s="992" t="s">
        <v>1502</v>
      </c>
      <c r="D48" s="503">
        <v>70</v>
      </c>
      <c r="E48" s="504">
        <v>71000</v>
      </c>
      <c r="F48" s="611">
        <v>47</v>
      </c>
      <c r="G48" s="1033"/>
      <c r="H48" s="506">
        <v>41</v>
      </c>
      <c r="I48" s="506">
        <v>55</v>
      </c>
      <c r="J48" s="764">
        <v>250</v>
      </c>
      <c r="K48" s="145">
        <v>40</v>
      </c>
      <c r="L48" s="492">
        <v>15</v>
      </c>
      <c r="M48" s="780">
        <v>10000</v>
      </c>
      <c r="N48" s="500">
        <v>0.25</v>
      </c>
      <c r="O48" s="788">
        <v>0.85</v>
      </c>
      <c r="P48" s="492">
        <v>45</v>
      </c>
      <c r="Q48" s="507">
        <v>0.05</v>
      </c>
      <c r="R48" s="201">
        <v>4619</v>
      </c>
      <c r="S48" s="201">
        <v>435</v>
      </c>
      <c r="T48" s="1277">
        <v>5999.5</v>
      </c>
      <c r="U48" s="506">
        <v>18.86</v>
      </c>
      <c r="V48" s="506">
        <v>6.034999999999999</v>
      </c>
      <c r="W48" s="506">
        <v>12.348</v>
      </c>
      <c r="X48" s="506">
        <v>1.4000000000000001</v>
      </c>
      <c r="Y48" s="823">
        <v>18.383</v>
      </c>
      <c r="Z48" s="831">
        <v>46.6191</v>
      </c>
      <c r="AA48" s="832"/>
      <c r="AB48" s="826"/>
      <c r="AC48" s="939">
        <v>622</v>
      </c>
      <c r="AD48" s="826" t="s">
        <v>483</v>
      </c>
      <c r="AE48" s="826">
        <v>1</v>
      </c>
      <c r="AF48" s="804">
        <v>1046</v>
      </c>
    </row>
    <row r="49" spans="1:32" ht="14.25">
      <c r="A49" s="496"/>
      <c r="B49" s="761"/>
      <c r="C49" s="761"/>
      <c r="D49" s="204"/>
      <c r="E49" s="203"/>
      <c r="F49" s="765"/>
      <c r="G49" s="495"/>
      <c r="H49" s="506"/>
      <c r="I49" s="506"/>
      <c r="J49" s="764"/>
      <c r="K49" s="499"/>
      <c r="L49" s="495"/>
      <c r="M49" s="764"/>
      <c r="N49" s="500" t="s">
        <v>413</v>
      </c>
      <c r="O49" s="788" t="s">
        <v>413</v>
      </c>
      <c r="P49" s="811"/>
      <c r="Q49" s="609">
        <v>0.05</v>
      </c>
      <c r="R49" s="610">
        <v>5811</v>
      </c>
      <c r="S49" s="610">
        <v>600</v>
      </c>
      <c r="T49" s="1279" t="s">
        <v>413</v>
      </c>
      <c r="U49" s="608">
        <v>23.49</v>
      </c>
      <c r="V49" s="1284"/>
      <c r="W49" s="1284"/>
      <c r="X49" s="608">
        <v>1.4000000000000001</v>
      </c>
      <c r="Y49" s="823" t="s">
        <v>413</v>
      </c>
      <c r="Z49" s="834"/>
      <c r="AA49" s="832"/>
      <c r="AB49" s="811"/>
      <c r="AC49" s="941" t="s">
        <v>413</v>
      </c>
      <c r="AD49" s="835" t="s">
        <v>413</v>
      </c>
      <c r="AE49" s="835"/>
      <c r="AF49" s="802"/>
    </row>
    <row r="50" spans="1:32" ht="14.25">
      <c r="A50" s="987">
        <v>1050</v>
      </c>
      <c r="B50" s="988"/>
      <c r="C50" s="995" t="s">
        <v>1196</v>
      </c>
      <c r="D50" s="1036"/>
      <c r="E50" s="1022"/>
      <c r="F50" s="1023"/>
      <c r="G50" s="1024"/>
      <c r="H50" s="1025"/>
      <c r="I50" s="1025"/>
      <c r="J50" s="1026"/>
      <c r="K50" s="1026"/>
      <c r="L50" s="1021"/>
      <c r="M50" s="1026"/>
      <c r="N50" s="1263" t="s">
        <v>413</v>
      </c>
      <c r="O50" s="816" t="s">
        <v>413</v>
      </c>
      <c r="P50" s="809"/>
      <c r="Q50" s="507"/>
      <c r="R50" s="201" t="s">
        <v>413</v>
      </c>
      <c r="S50" s="201"/>
      <c r="T50" s="1276" t="s">
        <v>413</v>
      </c>
      <c r="U50" s="506"/>
      <c r="V50" s="1025"/>
      <c r="W50" s="1025"/>
      <c r="X50" s="506"/>
      <c r="Y50" s="833" t="s">
        <v>413</v>
      </c>
      <c r="Z50" s="820"/>
      <c r="AA50" s="821"/>
      <c r="AB50" s="822"/>
      <c r="AC50" s="938" t="s">
        <v>413</v>
      </c>
      <c r="AD50" s="822" t="s">
        <v>413</v>
      </c>
      <c r="AE50" s="822"/>
      <c r="AF50" s="801">
        <v>1050</v>
      </c>
    </row>
    <row r="51" spans="1:32" ht="14.25">
      <c r="A51" s="496"/>
      <c r="B51" s="761"/>
      <c r="C51" s="761"/>
      <c r="D51" s="204"/>
      <c r="E51" s="203"/>
      <c r="F51" s="765"/>
      <c r="G51" s="495"/>
      <c r="H51" s="506"/>
      <c r="I51" s="506"/>
      <c r="J51" s="764"/>
      <c r="K51" s="499"/>
      <c r="L51" s="495"/>
      <c r="M51" s="764"/>
      <c r="N51" s="500" t="s">
        <v>413</v>
      </c>
      <c r="O51" s="788" t="s">
        <v>413</v>
      </c>
      <c r="P51" s="811"/>
      <c r="Q51" s="603"/>
      <c r="R51" s="605" t="s">
        <v>413</v>
      </c>
      <c r="S51" s="606"/>
      <c r="T51" s="1279" t="s">
        <v>413</v>
      </c>
      <c r="U51" s="604"/>
      <c r="V51" s="1284"/>
      <c r="W51" s="1284"/>
      <c r="X51" s="604"/>
      <c r="Y51" s="823" t="s">
        <v>413</v>
      </c>
      <c r="Z51" s="834"/>
      <c r="AA51" s="832"/>
      <c r="AB51" s="811"/>
      <c r="AC51" s="941" t="s">
        <v>413</v>
      </c>
      <c r="AD51" s="835" t="s">
        <v>413</v>
      </c>
      <c r="AE51" s="835"/>
      <c r="AF51" s="802"/>
    </row>
    <row r="52" spans="1:32" ht="14.25">
      <c r="A52" s="990">
        <v>1051</v>
      </c>
      <c r="B52" s="991"/>
      <c r="C52" s="991" t="s">
        <v>1197</v>
      </c>
      <c r="D52" s="1027">
        <v>40</v>
      </c>
      <c r="E52" s="1028">
        <v>56000</v>
      </c>
      <c r="F52" s="1029">
        <v>46</v>
      </c>
      <c r="G52" s="1030"/>
      <c r="H52" s="613">
        <v>39</v>
      </c>
      <c r="I52" s="613">
        <v>56</v>
      </c>
      <c r="J52" s="1031">
        <v>200</v>
      </c>
      <c r="K52" s="1032">
        <v>40</v>
      </c>
      <c r="L52" s="1251">
        <v>12</v>
      </c>
      <c r="M52" s="1232">
        <v>8000</v>
      </c>
      <c r="N52" s="1264">
        <v>0.25</v>
      </c>
      <c r="O52" s="815">
        <v>1</v>
      </c>
      <c r="P52" s="812">
        <v>30</v>
      </c>
      <c r="Q52" s="507"/>
      <c r="R52" s="201" t="s">
        <v>413</v>
      </c>
      <c r="S52" s="201"/>
      <c r="T52" s="1278">
        <v>5462</v>
      </c>
      <c r="U52" s="506"/>
      <c r="V52" s="613">
        <v>7</v>
      </c>
      <c r="W52" s="613">
        <v>7.056</v>
      </c>
      <c r="X52" s="506"/>
      <c r="Y52" s="827">
        <v>14.056000000000001</v>
      </c>
      <c r="Z52" s="828">
        <v>45.5026</v>
      </c>
      <c r="AA52" s="829"/>
      <c r="AB52" s="830"/>
      <c r="AC52" s="940">
        <v>592</v>
      </c>
      <c r="AD52" s="830" t="s">
        <v>483</v>
      </c>
      <c r="AE52" s="830">
        <v>1</v>
      </c>
      <c r="AF52" s="803">
        <v>1051</v>
      </c>
    </row>
    <row r="53" spans="1:32" ht="14.25">
      <c r="A53" s="154">
        <v>1052</v>
      </c>
      <c r="B53" s="992"/>
      <c r="C53" s="992" t="s">
        <v>1198</v>
      </c>
      <c r="D53" s="503">
        <v>50</v>
      </c>
      <c r="E53" s="504">
        <v>72000</v>
      </c>
      <c r="F53" s="611">
        <v>58</v>
      </c>
      <c r="G53" s="1033"/>
      <c r="H53" s="506">
        <v>50</v>
      </c>
      <c r="I53" s="506">
        <v>70</v>
      </c>
      <c r="J53" s="764">
        <v>200</v>
      </c>
      <c r="K53" s="145">
        <v>40</v>
      </c>
      <c r="L53" s="492">
        <v>12</v>
      </c>
      <c r="M53" s="780">
        <v>8000</v>
      </c>
      <c r="N53" s="500">
        <v>0.25</v>
      </c>
      <c r="O53" s="788">
        <v>1.05</v>
      </c>
      <c r="P53" s="492">
        <v>33</v>
      </c>
      <c r="Q53" s="609">
        <v>0.05</v>
      </c>
      <c r="R53" s="610">
        <v>3828</v>
      </c>
      <c r="S53" s="610">
        <v>285</v>
      </c>
      <c r="T53" s="1277">
        <v>6813</v>
      </c>
      <c r="U53" s="608">
        <v>18.724</v>
      </c>
      <c r="V53" s="506">
        <v>9.450000000000001</v>
      </c>
      <c r="W53" s="506">
        <v>8.82</v>
      </c>
      <c r="X53" s="608">
        <v>1.4000000000000001</v>
      </c>
      <c r="Y53" s="823">
        <v>18.270000000000003</v>
      </c>
      <c r="Z53" s="831">
        <v>57.56850000000001</v>
      </c>
      <c r="AA53" s="832"/>
      <c r="AB53" s="826"/>
      <c r="AC53" s="939">
        <v>624</v>
      </c>
      <c r="AD53" s="826" t="s">
        <v>483</v>
      </c>
      <c r="AE53" s="826">
        <v>1</v>
      </c>
      <c r="AF53" s="804">
        <v>1052</v>
      </c>
    </row>
    <row r="54" spans="1:32" ht="14.25">
      <c r="A54" s="990">
        <v>1053</v>
      </c>
      <c r="B54" s="991"/>
      <c r="C54" s="991" t="s">
        <v>1199</v>
      </c>
      <c r="D54" s="1027">
        <v>65</v>
      </c>
      <c r="E54" s="1028">
        <v>82000</v>
      </c>
      <c r="F54" s="1029">
        <v>66</v>
      </c>
      <c r="G54" s="1030"/>
      <c r="H54" s="613">
        <v>58</v>
      </c>
      <c r="I54" s="613">
        <v>80</v>
      </c>
      <c r="J54" s="1031">
        <v>200</v>
      </c>
      <c r="K54" s="1032">
        <v>40</v>
      </c>
      <c r="L54" s="1251">
        <v>12</v>
      </c>
      <c r="M54" s="1232">
        <v>8000</v>
      </c>
      <c r="N54" s="1264">
        <v>0.25</v>
      </c>
      <c r="O54" s="815">
        <v>1</v>
      </c>
      <c r="P54" s="812">
        <v>36</v>
      </c>
      <c r="Q54" s="507">
        <v>0.05</v>
      </c>
      <c r="R54" s="201">
        <v>4437</v>
      </c>
      <c r="S54" s="201">
        <v>405</v>
      </c>
      <c r="T54" s="1278">
        <v>7672</v>
      </c>
      <c r="U54" s="506">
        <v>21.696</v>
      </c>
      <c r="V54" s="613">
        <v>10.25</v>
      </c>
      <c r="W54" s="613">
        <v>11.466</v>
      </c>
      <c r="X54" s="506">
        <v>1.4000000000000001</v>
      </c>
      <c r="Y54" s="827">
        <v>21.716</v>
      </c>
      <c r="Z54" s="828">
        <v>66.0836</v>
      </c>
      <c r="AA54" s="829"/>
      <c r="AB54" s="830"/>
      <c r="AC54" s="940">
        <v>644</v>
      </c>
      <c r="AD54" s="830" t="s">
        <v>483</v>
      </c>
      <c r="AE54" s="830">
        <v>1</v>
      </c>
      <c r="AF54" s="803">
        <v>1053</v>
      </c>
    </row>
    <row r="55" spans="1:32" ht="14.25">
      <c r="A55" s="154">
        <v>1058</v>
      </c>
      <c r="B55" s="992"/>
      <c r="C55" s="992" t="s">
        <v>964</v>
      </c>
      <c r="D55" s="503">
        <v>4</v>
      </c>
      <c r="E55" s="504">
        <v>8000</v>
      </c>
      <c r="F55" s="611">
        <v>20</v>
      </c>
      <c r="G55" s="1037"/>
      <c r="H55" s="506">
        <v>18</v>
      </c>
      <c r="I55" s="506">
        <v>24</v>
      </c>
      <c r="J55" s="764">
        <v>75</v>
      </c>
      <c r="K55" s="145">
        <v>70</v>
      </c>
      <c r="L55" s="492">
        <v>12</v>
      </c>
      <c r="M55" s="780">
        <v>2500</v>
      </c>
      <c r="N55" s="500">
        <v>0.25</v>
      </c>
      <c r="O55" s="788">
        <v>1.7</v>
      </c>
      <c r="P55" s="492">
        <v>11</v>
      </c>
      <c r="Q55" s="609">
        <v>0.05</v>
      </c>
      <c r="R55" s="610">
        <v>6264</v>
      </c>
      <c r="S55" s="610">
        <v>450</v>
      </c>
      <c r="T55" s="1277">
        <v>799</v>
      </c>
      <c r="U55" s="608">
        <v>29.352</v>
      </c>
      <c r="V55" s="506">
        <v>5.44</v>
      </c>
      <c r="W55" s="506">
        <v>2.0300000000000002</v>
      </c>
      <c r="X55" s="608">
        <v>1.4000000000000001</v>
      </c>
      <c r="Y55" s="823">
        <v>7.470000000000001</v>
      </c>
      <c r="Z55" s="831">
        <v>19.93566666666667</v>
      </c>
      <c r="AA55" s="836"/>
      <c r="AB55" s="826"/>
      <c r="AC55" s="939">
        <v>16</v>
      </c>
      <c r="AD55" s="826" t="s">
        <v>483</v>
      </c>
      <c r="AE55" s="826">
        <v>2</v>
      </c>
      <c r="AF55" s="804">
        <v>1058</v>
      </c>
    </row>
    <row r="56" spans="1:32" ht="14.25">
      <c r="A56" s="990">
        <v>1059</v>
      </c>
      <c r="B56" s="991"/>
      <c r="C56" s="991" t="s">
        <v>1200</v>
      </c>
      <c r="D56" s="1027">
        <v>15</v>
      </c>
      <c r="E56" s="1028">
        <v>32000</v>
      </c>
      <c r="F56" s="1029">
        <v>36</v>
      </c>
      <c r="G56" s="1038"/>
      <c r="H56" s="613">
        <v>32</v>
      </c>
      <c r="I56" s="613">
        <v>43</v>
      </c>
      <c r="J56" s="1031">
        <v>150</v>
      </c>
      <c r="K56" s="1032">
        <v>70</v>
      </c>
      <c r="L56" s="1251">
        <v>12</v>
      </c>
      <c r="M56" s="1232">
        <v>4000</v>
      </c>
      <c r="N56" s="1264">
        <v>0.25</v>
      </c>
      <c r="O56" s="815">
        <v>1.15</v>
      </c>
      <c r="P56" s="812">
        <v>15</v>
      </c>
      <c r="Q56" s="507">
        <v>0.05</v>
      </c>
      <c r="R56" s="201">
        <v>7308</v>
      </c>
      <c r="S56" s="201">
        <v>705</v>
      </c>
      <c r="T56" s="1278">
        <v>2819</v>
      </c>
      <c r="U56" s="506">
        <v>28.87</v>
      </c>
      <c r="V56" s="613">
        <v>9.2</v>
      </c>
      <c r="W56" s="616">
        <v>4.6305</v>
      </c>
      <c r="X56" s="506">
        <v>1.4000000000000001</v>
      </c>
      <c r="Y56" s="827">
        <v>13.830499999999999</v>
      </c>
      <c r="Z56" s="828">
        <v>35.88621666666667</v>
      </c>
      <c r="AA56" s="837"/>
      <c r="AB56" s="830"/>
      <c r="AC56" s="940">
        <v>64</v>
      </c>
      <c r="AD56" s="830" t="s">
        <v>483</v>
      </c>
      <c r="AE56" s="830">
        <v>1</v>
      </c>
      <c r="AF56" s="803">
        <v>1059</v>
      </c>
    </row>
    <row r="57" spans="1:32" ht="28.5">
      <c r="A57" s="154">
        <v>1060</v>
      </c>
      <c r="B57" s="992"/>
      <c r="C57" s="992" t="s">
        <v>1201</v>
      </c>
      <c r="D57" s="503">
        <v>25</v>
      </c>
      <c r="E57" s="504">
        <v>52000</v>
      </c>
      <c r="F57" s="611">
        <v>43</v>
      </c>
      <c r="G57" s="1037"/>
      <c r="H57" s="506">
        <v>38</v>
      </c>
      <c r="I57" s="506">
        <v>51</v>
      </c>
      <c r="J57" s="764">
        <v>200</v>
      </c>
      <c r="K57" s="145">
        <v>60</v>
      </c>
      <c r="L57" s="492">
        <v>12</v>
      </c>
      <c r="M57" s="780">
        <v>6000</v>
      </c>
      <c r="N57" s="500">
        <v>0.25</v>
      </c>
      <c r="O57" s="788">
        <v>1.15</v>
      </c>
      <c r="P57" s="492">
        <v>16</v>
      </c>
      <c r="Q57" s="609">
        <v>0.05</v>
      </c>
      <c r="R57" s="610">
        <v>9831</v>
      </c>
      <c r="S57" s="610">
        <v>840</v>
      </c>
      <c r="T57" s="1277">
        <v>4472</v>
      </c>
      <c r="U57" s="608">
        <v>37.92333333333333</v>
      </c>
      <c r="V57" s="506">
        <v>9.966666666666665</v>
      </c>
      <c r="W57" s="506">
        <v>6.615</v>
      </c>
      <c r="X57" s="608">
        <v>1.4000000000000001</v>
      </c>
      <c r="Y57" s="823">
        <v>16.581666666666663</v>
      </c>
      <c r="Z57" s="831">
        <v>42.83583333333333</v>
      </c>
      <c r="AA57" s="836"/>
      <c r="AB57" s="826"/>
      <c r="AC57" s="939">
        <v>104</v>
      </c>
      <c r="AD57" s="826" t="s">
        <v>483</v>
      </c>
      <c r="AE57" s="826">
        <v>1</v>
      </c>
      <c r="AF57" s="804">
        <v>1060</v>
      </c>
    </row>
    <row r="58" spans="1:32" ht="14.25">
      <c r="A58" s="990">
        <v>1061</v>
      </c>
      <c r="B58" s="991"/>
      <c r="C58" s="991" t="s">
        <v>1202</v>
      </c>
      <c r="D58" s="1027">
        <v>44</v>
      </c>
      <c r="E58" s="1028">
        <v>77000</v>
      </c>
      <c r="F58" s="1029">
        <v>56</v>
      </c>
      <c r="G58" s="1038"/>
      <c r="H58" s="613">
        <v>49</v>
      </c>
      <c r="I58" s="613">
        <v>68</v>
      </c>
      <c r="J58" s="1031">
        <v>200</v>
      </c>
      <c r="K58" s="1032">
        <v>40</v>
      </c>
      <c r="L58" s="1251">
        <v>12</v>
      </c>
      <c r="M58" s="1232">
        <v>8000</v>
      </c>
      <c r="N58" s="1264">
        <v>0.25</v>
      </c>
      <c r="O58" s="815">
        <v>1.1</v>
      </c>
      <c r="P58" s="812">
        <v>19</v>
      </c>
      <c r="Q58" s="507">
        <v>0.05</v>
      </c>
      <c r="R58" s="201">
        <v>4611</v>
      </c>
      <c r="S58" s="201">
        <v>285</v>
      </c>
      <c r="T58" s="1278">
        <v>6561</v>
      </c>
      <c r="U58" s="506">
        <v>27.41</v>
      </c>
      <c r="V58" s="613">
        <v>10.5875</v>
      </c>
      <c r="W58" s="613">
        <v>7.7616000000000005</v>
      </c>
      <c r="X58" s="506">
        <v>1.4000000000000001</v>
      </c>
      <c r="Y58" s="827">
        <v>18.3491</v>
      </c>
      <c r="Z58" s="828">
        <v>56.269510000000004</v>
      </c>
      <c r="AA58" s="838"/>
      <c r="AB58" s="830"/>
      <c r="AC58" s="940">
        <v>154</v>
      </c>
      <c r="AD58" s="830" t="s">
        <v>483</v>
      </c>
      <c r="AE58" s="830">
        <v>1</v>
      </c>
      <c r="AF58" s="803">
        <v>1061</v>
      </c>
    </row>
    <row r="59" spans="1:32" ht="14.25">
      <c r="A59" s="496"/>
      <c r="B59" s="761"/>
      <c r="C59" s="761"/>
      <c r="D59" s="204"/>
      <c r="E59" s="203"/>
      <c r="F59" s="765"/>
      <c r="G59" s="495"/>
      <c r="H59" s="506"/>
      <c r="I59" s="506"/>
      <c r="J59" s="764"/>
      <c r="K59" s="499"/>
      <c r="L59" s="495"/>
      <c r="M59" s="764"/>
      <c r="N59" s="500" t="s">
        <v>413</v>
      </c>
      <c r="O59" s="788" t="s">
        <v>413</v>
      </c>
      <c r="P59" s="811"/>
      <c r="Q59" s="609">
        <v>0.05</v>
      </c>
      <c r="R59" s="610">
        <v>5655</v>
      </c>
      <c r="S59" s="610">
        <v>390</v>
      </c>
      <c r="T59" s="1279" t="s">
        <v>413</v>
      </c>
      <c r="U59" s="608">
        <v>33.275</v>
      </c>
      <c r="V59" s="1284"/>
      <c r="W59" s="1284"/>
      <c r="X59" s="608">
        <v>1.4000000000000001</v>
      </c>
      <c r="Y59" s="823" t="s">
        <v>413</v>
      </c>
      <c r="Z59" s="834"/>
      <c r="AA59" s="832"/>
      <c r="AB59" s="811"/>
      <c r="AC59" s="941" t="s">
        <v>413</v>
      </c>
      <c r="AD59" s="835" t="s">
        <v>413</v>
      </c>
      <c r="AE59" s="835"/>
      <c r="AF59" s="802"/>
    </row>
    <row r="60" spans="1:32" ht="14.25">
      <c r="A60" s="987">
        <v>1070</v>
      </c>
      <c r="B60" s="988"/>
      <c r="C60" s="989" t="s">
        <v>493</v>
      </c>
      <c r="D60" s="1021"/>
      <c r="E60" s="1022"/>
      <c r="F60" s="1023"/>
      <c r="G60" s="1024"/>
      <c r="H60" s="1025"/>
      <c r="I60" s="1025"/>
      <c r="J60" s="1026"/>
      <c r="K60" s="1026"/>
      <c r="L60" s="1021"/>
      <c r="M60" s="1026"/>
      <c r="N60" s="1263" t="s">
        <v>413</v>
      </c>
      <c r="O60" s="816" t="s">
        <v>413</v>
      </c>
      <c r="P60" s="809"/>
      <c r="Q60" s="507">
        <v>0.05</v>
      </c>
      <c r="R60" s="201">
        <v>783</v>
      </c>
      <c r="S60" s="201">
        <v>165</v>
      </c>
      <c r="T60" s="1276" t="s">
        <v>413</v>
      </c>
      <c r="U60" s="506">
        <v>12.88</v>
      </c>
      <c r="V60" s="1025"/>
      <c r="W60" s="1025"/>
      <c r="X60" s="506">
        <v>1.4000000000000001</v>
      </c>
      <c r="Y60" s="833" t="s">
        <v>413</v>
      </c>
      <c r="Z60" s="820"/>
      <c r="AA60" s="821"/>
      <c r="AB60" s="822"/>
      <c r="AC60" s="938" t="s">
        <v>413</v>
      </c>
      <c r="AD60" s="822" t="s">
        <v>413</v>
      </c>
      <c r="AE60" s="822"/>
      <c r="AF60" s="801">
        <v>1070</v>
      </c>
    </row>
    <row r="61" spans="1:32" ht="14.25">
      <c r="A61" s="496"/>
      <c r="B61" s="761"/>
      <c r="C61" s="496"/>
      <c r="D61" s="508"/>
      <c r="E61" s="504"/>
      <c r="F61" s="509"/>
      <c r="G61" s="496"/>
      <c r="H61" s="506"/>
      <c r="I61" s="506"/>
      <c r="J61" s="764"/>
      <c r="K61" s="495"/>
      <c r="L61" s="496"/>
      <c r="M61" s="764"/>
      <c r="N61" s="500" t="s">
        <v>413</v>
      </c>
      <c r="O61" s="788" t="s">
        <v>413</v>
      </c>
      <c r="P61" s="810"/>
      <c r="Q61" s="609">
        <v>0.05</v>
      </c>
      <c r="R61" s="610">
        <v>2436</v>
      </c>
      <c r="S61" s="610">
        <v>225</v>
      </c>
      <c r="T61" s="1277" t="s">
        <v>413</v>
      </c>
      <c r="U61" s="608">
        <v>18.113333333333333</v>
      </c>
      <c r="V61" s="506"/>
      <c r="W61" s="506"/>
      <c r="X61" s="608">
        <v>1.4000000000000001</v>
      </c>
      <c r="Y61" s="823" t="s">
        <v>413</v>
      </c>
      <c r="Z61" s="831"/>
      <c r="AA61" s="832"/>
      <c r="AB61" s="802"/>
      <c r="AC61" s="939" t="s">
        <v>413</v>
      </c>
      <c r="AD61" s="826" t="s">
        <v>413</v>
      </c>
      <c r="AE61" s="826"/>
      <c r="AF61" s="802"/>
    </row>
    <row r="62" spans="1:34" ht="14.25">
      <c r="A62" s="990">
        <v>1071</v>
      </c>
      <c r="B62" s="991"/>
      <c r="C62" s="991" t="s">
        <v>965</v>
      </c>
      <c r="D62" s="1027">
        <v>30</v>
      </c>
      <c r="E62" s="1028">
        <v>75000</v>
      </c>
      <c r="F62" s="1029">
        <v>49</v>
      </c>
      <c r="G62" s="1030"/>
      <c r="H62" s="613">
        <v>42</v>
      </c>
      <c r="I62" s="613">
        <v>60</v>
      </c>
      <c r="J62" s="1031">
        <v>200</v>
      </c>
      <c r="K62" s="1032">
        <v>40</v>
      </c>
      <c r="L62" s="1251">
        <v>15</v>
      </c>
      <c r="M62" s="1232">
        <v>8000</v>
      </c>
      <c r="N62" s="1264">
        <v>0.25</v>
      </c>
      <c r="O62" s="815">
        <v>0.95</v>
      </c>
      <c r="P62" s="812">
        <v>27</v>
      </c>
      <c r="Q62" s="507">
        <v>0.05</v>
      </c>
      <c r="R62" s="201">
        <v>4524</v>
      </c>
      <c r="S62" s="201">
        <v>240</v>
      </c>
      <c r="T62" s="1278">
        <v>6043.5</v>
      </c>
      <c r="U62" s="506">
        <v>24.34</v>
      </c>
      <c r="V62" s="613">
        <v>8.90625</v>
      </c>
      <c r="W62" s="613">
        <v>5.292</v>
      </c>
      <c r="X62" s="506">
        <v>1.4000000000000001</v>
      </c>
      <c r="Y62" s="827">
        <v>14.19825</v>
      </c>
      <c r="Z62" s="828">
        <v>48.85732500000001</v>
      </c>
      <c r="AA62" s="829"/>
      <c r="AB62" s="830"/>
      <c r="AC62" s="940">
        <v>630</v>
      </c>
      <c r="AD62" s="830" t="s">
        <v>483</v>
      </c>
      <c r="AE62" s="830">
        <v>1</v>
      </c>
      <c r="AF62" s="803">
        <v>1071</v>
      </c>
      <c r="AG62" s="138">
        <v>1090</v>
      </c>
      <c r="AH62" s="138">
        <v>1090</v>
      </c>
    </row>
    <row r="63" spans="1:34" ht="14.25">
      <c r="A63" s="154">
        <v>1072</v>
      </c>
      <c r="B63" s="992"/>
      <c r="C63" s="992" t="s">
        <v>966</v>
      </c>
      <c r="D63" s="503">
        <v>35</v>
      </c>
      <c r="E63" s="504">
        <v>91000</v>
      </c>
      <c r="F63" s="611">
        <v>48</v>
      </c>
      <c r="G63" s="1033"/>
      <c r="H63" s="506">
        <v>41</v>
      </c>
      <c r="I63" s="506">
        <v>58</v>
      </c>
      <c r="J63" s="764">
        <v>250</v>
      </c>
      <c r="K63" s="145">
        <v>40</v>
      </c>
      <c r="L63" s="492">
        <v>15</v>
      </c>
      <c r="M63" s="780">
        <v>8000</v>
      </c>
      <c r="N63" s="500">
        <v>0.25</v>
      </c>
      <c r="O63" s="788">
        <v>0.75</v>
      </c>
      <c r="P63" s="492">
        <v>29</v>
      </c>
      <c r="Q63" s="609">
        <v>0.05</v>
      </c>
      <c r="R63" s="610">
        <v>6612</v>
      </c>
      <c r="S63" s="610">
        <v>285</v>
      </c>
      <c r="T63" s="1277">
        <v>7181.5</v>
      </c>
      <c r="U63" s="608">
        <v>35.245</v>
      </c>
      <c r="V63" s="506">
        <v>8.53125</v>
      </c>
      <c r="W63" s="506">
        <v>6.174</v>
      </c>
      <c r="X63" s="608">
        <v>1.4000000000000001</v>
      </c>
      <c r="Y63" s="823">
        <v>14.70525</v>
      </c>
      <c r="Z63" s="831">
        <v>47.774375</v>
      </c>
      <c r="AA63" s="832"/>
      <c r="AB63" s="826"/>
      <c r="AC63" s="939">
        <v>662</v>
      </c>
      <c r="AD63" s="826" t="s">
        <v>483</v>
      </c>
      <c r="AE63" s="826">
        <v>1</v>
      </c>
      <c r="AF63" s="804">
        <v>1072</v>
      </c>
      <c r="AG63" s="138">
        <v>1090</v>
      </c>
      <c r="AH63" s="138">
        <v>1090</v>
      </c>
    </row>
    <row r="64" spans="1:34" ht="14.25">
      <c r="A64" s="990">
        <v>1073</v>
      </c>
      <c r="B64" s="991"/>
      <c r="C64" s="991" t="s">
        <v>967</v>
      </c>
      <c r="D64" s="1027">
        <v>45</v>
      </c>
      <c r="E64" s="1028">
        <v>105000</v>
      </c>
      <c r="F64" s="1029">
        <v>49</v>
      </c>
      <c r="G64" s="1030"/>
      <c r="H64" s="613">
        <v>43</v>
      </c>
      <c r="I64" s="613">
        <v>59</v>
      </c>
      <c r="J64" s="1031">
        <v>300</v>
      </c>
      <c r="K64" s="1032">
        <v>40</v>
      </c>
      <c r="L64" s="1251">
        <v>15</v>
      </c>
      <c r="M64" s="1232">
        <v>10000</v>
      </c>
      <c r="N64" s="1264">
        <v>0.25</v>
      </c>
      <c r="O64" s="815">
        <v>0.9</v>
      </c>
      <c r="P64" s="812">
        <v>29</v>
      </c>
      <c r="Q64" s="507"/>
      <c r="R64" s="201" t="s">
        <v>413</v>
      </c>
      <c r="S64" s="201"/>
      <c r="T64" s="1278">
        <v>8154.5</v>
      </c>
      <c r="U64" s="506"/>
      <c r="V64" s="613">
        <v>9.450000000000001</v>
      </c>
      <c r="W64" s="613">
        <v>7.938000000000001</v>
      </c>
      <c r="X64" s="506"/>
      <c r="Y64" s="827">
        <v>17.388</v>
      </c>
      <c r="Z64" s="828">
        <v>49.02663333333334</v>
      </c>
      <c r="AA64" s="829"/>
      <c r="AB64" s="830"/>
      <c r="AC64" s="940">
        <v>690</v>
      </c>
      <c r="AD64" s="830" t="s">
        <v>483</v>
      </c>
      <c r="AE64" s="830">
        <v>1</v>
      </c>
      <c r="AF64" s="803">
        <v>1073</v>
      </c>
      <c r="AG64" s="138">
        <v>1090</v>
      </c>
      <c r="AH64" s="138">
        <v>1090</v>
      </c>
    </row>
    <row r="65" spans="1:34" ht="14.25">
      <c r="A65" s="154">
        <v>1074</v>
      </c>
      <c r="B65" s="992"/>
      <c r="C65" s="992" t="s">
        <v>968</v>
      </c>
      <c r="D65" s="503">
        <v>65</v>
      </c>
      <c r="E65" s="504">
        <v>127000</v>
      </c>
      <c r="F65" s="611">
        <v>56</v>
      </c>
      <c r="G65" s="1033"/>
      <c r="H65" s="506">
        <v>50</v>
      </c>
      <c r="I65" s="506">
        <v>66</v>
      </c>
      <c r="J65" s="764">
        <v>350</v>
      </c>
      <c r="K65" s="145">
        <v>40</v>
      </c>
      <c r="L65" s="492">
        <v>15</v>
      </c>
      <c r="M65" s="780">
        <v>10000</v>
      </c>
      <c r="N65" s="500">
        <v>0.25</v>
      </c>
      <c r="O65" s="788">
        <v>0.9</v>
      </c>
      <c r="P65" s="492">
        <v>33</v>
      </c>
      <c r="Q65" s="603"/>
      <c r="R65" s="605" t="s">
        <v>413</v>
      </c>
      <c r="S65" s="606"/>
      <c r="T65" s="1277">
        <v>9735.5</v>
      </c>
      <c r="U65" s="604"/>
      <c r="V65" s="506">
        <v>11.43</v>
      </c>
      <c r="W65" s="506">
        <v>11.466</v>
      </c>
      <c r="X65" s="604"/>
      <c r="Y65" s="823">
        <v>22.896</v>
      </c>
      <c r="Z65" s="831">
        <v>55.78288571428572</v>
      </c>
      <c r="AA65" s="832"/>
      <c r="AB65" s="826"/>
      <c r="AC65" s="939">
        <v>734</v>
      </c>
      <c r="AD65" s="826" t="s">
        <v>483</v>
      </c>
      <c r="AE65" s="826">
        <v>1</v>
      </c>
      <c r="AF65" s="804">
        <v>1074</v>
      </c>
      <c r="AG65" s="138">
        <v>1090</v>
      </c>
      <c r="AH65" s="138">
        <v>1090</v>
      </c>
    </row>
    <row r="66" spans="1:34" ht="14.25">
      <c r="A66" s="990">
        <v>1075</v>
      </c>
      <c r="B66" s="991"/>
      <c r="C66" s="991" t="s">
        <v>1203</v>
      </c>
      <c r="D66" s="1027">
        <v>70</v>
      </c>
      <c r="E66" s="1028">
        <v>148000</v>
      </c>
      <c r="F66" s="1029">
        <v>63</v>
      </c>
      <c r="G66" s="1030"/>
      <c r="H66" s="613">
        <v>56</v>
      </c>
      <c r="I66" s="613">
        <v>74</v>
      </c>
      <c r="J66" s="1031">
        <v>400</v>
      </c>
      <c r="K66" s="1032">
        <v>40</v>
      </c>
      <c r="L66" s="1251">
        <v>15</v>
      </c>
      <c r="M66" s="1232">
        <v>10000</v>
      </c>
      <c r="N66" s="1264">
        <v>0.1</v>
      </c>
      <c r="O66" s="815">
        <v>0.9</v>
      </c>
      <c r="P66" s="812">
        <v>35</v>
      </c>
      <c r="Q66" s="507"/>
      <c r="R66" s="201" t="s">
        <v>413</v>
      </c>
      <c r="S66" s="201"/>
      <c r="T66" s="1278">
        <v>12479</v>
      </c>
      <c r="U66" s="506"/>
      <c r="V66" s="613">
        <v>13.32</v>
      </c>
      <c r="W66" s="613">
        <v>12.348</v>
      </c>
      <c r="X66" s="506"/>
      <c r="Y66" s="827">
        <v>25.668</v>
      </c>
      <c r="Z66" s="828">
        <v>62.55205</v>
      </c>
      <c r="AA66" s="829"/>
      <c r="AB66" s="830"/>
      <c r="AC66" s="940">
        <v>776</v>
      </c>
      <c r="AD66" s="830" t="s">
        <v>483</v>
      </c>
      <c r="AE66" s="830">
        <v>1</v>
      </c>
      <c r="AF66" s="803">
        <v>1075</v>
      </c>
      <c r="AG66" s="138">
        <v>1090</v>
      </c>
      <c r="AH66" s="138">
        <v>1090</v>
      </c>
    </row>
    <row r="67" spans="1:32" ht="14.25">
      <c r="A67" s="154"/>
      <c r="B67" s="992"/>
      <c r="C67" s="154"/>
      <c r="D67" s="204"/>
      <c r="E67" s="504"/>
      <c r="F67" s="509"/>
      <c r="G67" s="1033"/>
      <c r="H67" s="506"/>
      <c r="I67" s="506"/>
      <c r="J67" s="764"/>
      <c r="L67" s="492"/>
      <c r="M67" s="764"/>
      <c r="N67" s="500" t="s">
        <v>413</v>
      </c>
      <c r="O67" s="788" t="s">
        <v>413</v>
      </c>
      <c r="P67" s="492"/>
      <c r="Q67" s="609">
        <v>0.05</v>
      </c>
      <c r="R67" s="610">
        <v>5140.5</v>
      </c>
      <c r="S67" s="610">
        <v>405</v>
      </c>
      <c r="T67" s="1277" t="s">
        <v>413</v>
      </c>
      <c r="U67" s="608">
        <v>30.8175</v>
      </c>
      <c r="V67" s="506"/>
      <c r="W67" s="506"/>
      <c r="X67" s="608">
        <v>1.4000000000000001</v>
      </c>
      <c r="Y67" s="823" t="s">
        <v>413</v>
      </c>
      <c r="Z67" s="831"/>
      <c r="AA67" s="839"/>
      <c r="AB67" s="826"/>
      <c r="AC67" s="939" t="s">
        <v>413</v>
      </c>
      <c r="AD67" s="826" t="s">
        <v>413</v>
      </c>
      <c r="AE67" s="826"/>
      <c r="AF67" s="804"/>
    </row>
    <row r="68" spans="1:32" ht="14.25">
      <c r="A68" s="987">
        <v>1080</v>
      </c>
      <c r="B68" s="988" t="s">
        <v>1501</v>
      </c>
      <c r="C68" s="989" t="s">
        <v>494</v>
      </c>
      <c r="D68" s="1021"/>
      <c r="E68" s="1022"/>
      <c r="F68" s="1023"/>
      <c r="G68" s="1024"/>
      <c r="H68" s="1025"/>
      <c r="I68" s="1025"/>
      <c r="J68" s="1026"/>
      <c r="K68" s="1026"/>
      <c r="L68" s="1021"/>
      <c r="M68" s="1026"/>
      <c r="N68" s="1263" t="s">
        <v>413</v>
      </c>
      <c r="O68" s="816" t="s">
        <v>413</v>
      </c>
      <c r="P68" s="809"/>
      <c r="Q68" s="507">
        <v>0.05</v>
      </c>
      <c r="R68" s="201">
        <v>6258</v>
      </c>
      <c r="S68" s="201">
        <v>435</v>
      </c>
      <c r="T68" s="1276" t="s">
        <v>413</v>
      </c>
      <c r="U68" s="506">
        <v>29.364</v>
      </c>
      <c r="V68" s="1025"/>
      <c r="W68" s="1025"/>
      <c r="X68" s="506">
        <v>1.4000000000000001</v>
      </c>
      <c r="Y68" s="833" t="s">
        <v>413</v>
      </c>
      <c r="Z68" s="820"/>
      <c r="AA68" s="821"/>
      <c r="AB68" s="822"/>
      <c r="AC68" s="938" t="s">
        <v>413</v>
      </c>
      <c r="AD68" s="822" t="s">
        <v>413</v>
      </c>
      <c r="AE68" s="822"/>
      <c r="AF68" s="801">
        <v>1080</v>
      </c>
    </row>
    <row r="69" spans="1:32" ht="14.25">
      <c r="A69" s="496"/>
      <c r="B69" s="761"/>
      <c r="C69" s="496"/>
      <c r="D69" s="508"/>
      <c r="E69" s="504"/>
      <c r="F69" s="509"/>
      <c r="G69" s="496"/>
      <c r="H69" s="506"/>
      <c r="I69" s="506"/>
      <c r="J69" s="764"/>
      <c r="K69" s="495"/>
      <c r="L69" s="496"/>
      <c r="M69" s="764"/>
      <c r="N69" s="500" t="s">
        <v>413</v>
      </c>
      <c r="O69" s="788" t="s">
        <v>413</v>
      </c>
      <c r="P69" s="810"/>
      <c r="Q69" s="609">
        <v>0.05</v>
      </c>
      <c r="R69" s="610">
        <v>7375.5</v>
      </c>
      <c r="S69" s="610">
        <v>435</v>
      </c>
      <c r="T69" s="1277" t="s">
        <v>413</v>
      </c>
      <c r="U69" s="608">
        <v>28.295</v>
      </c>
      <c r="V69" s="506"/>
      <c r="W69" s="506"/>
      <c r="X69" s="608">
        <v>1.4000000000000001</v>
      </c>
      <c r="Y69" s="823" t="s">
        <v>413</v>
      </c>
      <c r="Z69" s="831"/>
      <c r="AA69" s="832"/>
      <c r="AB69" s="802"/>
      <c r="AC69" s="939" t="s">
        <v>413</v>
      </c>
      <c r="AD69" s="826" t="s">
        <v>413</v>
      </c>
      <c r="AE69" s="826"/>
      <c r="AF69" s="802"/>
    </row>
    <row r="70" spans="1:34" ht="14.25">
      <c r="A70" s="154">
        <v>1084</v>
      </c>
      <c r="B70" s="992" t="s">
        <v>1501</v>
      </c>
      <c r="C70" s="992" t="s">
        <v>969</v>
      </c>
      <c r="D70" s="503">
        <v>40</v>
      </c>
      <c r="E70" s="504">
        <v>76000</v>
      </c>
      <c r="F70" s="611">
        <v>56</v>
      </c>
      <c r="G70" s="1033"/>
      <c r="H70" s="506">
        <v>49</v>
      </c>
      <c r="I70" s="506">
        <v>70</v>
      </c>
      <c r="J70" s="764">
        <v>200</v>
      </c>
      <c r="K70" s="145">
        <v>40</v>
      </c>
      <c r="L70" s="492">
        <v>15</v>
      </c>
      <c r="M70" s="780">
        <v>10000</v>
      </c>
      <c r="N70" s="500">
        <v>0.25</v>
      </c>
      <c r="O70" s="788">
        <v>1.15</v>
      </c>
      <c r="P70" s="492">
        <v>62</v>
      </c>
      <c r="Q70" s="507">
        <v>0.05</v>
      </c>
      <c r="R70" s="201">
        <v>8865.5</v>
      </c>
      <c r="S70" s="201">
        <v>495</v>
      </c>
      <c r="T70" s="1277">
        <v>7108</v>
      </c>
      <c r="U70" s="506">
        <v>28.795714285714286</v>
      </c>
      <c r="V70" s="506">
        <v>8.739999999999998</v>
      </c>
      <c r="W70" s="506">
        <v>7.056</v>
      </c>
      <c r="X70" s="506">
        <v>1.4000000000000001</v>
      </c>
      <c r="Y70" s="823">
        <v>15.796</v>
      </c>
      <c r="Z70" s="831">
        <v>56.4696</v>
      </c>
      <c r="AA70" s="832"/>
      <c r="AB70" s="826"/>
      <c r="AC70" s="939">
        <v>1172</v>
      </c>
      <c r="AD70" s="826" t="s">
        <v>483</v>
      </c>
      <c r="AE70" s="826">
        <v>1</v>
      </c>
      <c r="AF70" s="804">
        <v>1084</v>
      </c>
      <c r="AG70" s="138">
        <v>1090</v>
      </c>
      <c r="AH70" s="138">
        <v>1090</v>
      </c>
    </row>
    <row r="71" spans="1:34" ht="14.25">
      <c r="A71" s="990">
        <v>1085</v>
      </c>
      <c r="B71" s="991" t="s">
        <v>1501</v>
      </c>
      <c r="C71" s="991" t="s">
        <v>970</v>
      </c>
      <c r="D71" s="1027">
        <v>50</v>
      </c>
      <c r="E71" s="1028">
        <v>96000</v>
      </c>
      <c r="F71" s="1029">
        <v>57</v>
      </c>
      <c r="G71" s="1030"/>
      <c r="H71" s="613">
        <v>50</v>
      </c>
      <c r="I71" s="613">
        <v>70</v>
      </c>
      <c r="J71" s="1031">
        <v>250</v>
      </c>
      <c r="K71" s="1032">
        <v>40</v>
      </c>
      <c r="L71" s="1251">
        <v>15</v>
      </c>
      <c r="M71" s="1232">
        <v>10000</v>
      </c>
      <c r="N71" s="1264">
        <v>0.25</v>
      </c>
      <c r="O71" s="815">
        <v>0.95</v>
      </c>
      <c r="P71" s="812">
        <v>64</v>
      </c>
      <c r="Q71" s="609">
        <v>0.05</v>
      </c>
      <c r="R71" s="610">
        <v>12442.4</v>
      </c>
      <c r="S71" s="610">
        <v>525</v>
      </c>
      <c r="T71" s="1278">
        <v>8524</v>
      </c>
      <c r="U71" s="608">
        <v>34.3735</v>
      </c>
      <c r="V71" s="613">
        <v>9.12</v>
      </c>
      <c r="W71" s="613">
        <v>8.82</v>
      </c>
      <c r="X71" s="608">
        <v>1.4000000000000001</v>
      </c>
      <c r="Y71" s="827">
        <v>17.939999999999998</v>
      </c>
      <c r="Z71" s="828">
        <v>57.239599999999996</v>
      </c>
      <c r="AA71" s="829"/>
      <c r="AB71" s="830"/>
      <c r="AC71" s="940">
        <v>1212</v>
      </c>
      <c r="AD71" s="830" t="s">
        <v>483</v>
      </c>
      <c r="AE71" s="830">
        <v>1</v>
      </c>
      <c r="AF71" s="803">
        <v>1085</v>
      </c>
      <c r="AG71" s="138">
        <v>1090</v>
      </c>
      <c r="AH71" s="138">
        <v>1090</v>
      </c>
    </row>
    <row r="72" spans="1:34" ht="14.25">
      <c r="A72" s="154">
        <v>1086</v>
      </c>
      <c r="B72" s="992" t="s">
        <v>1501</v>
      </c>
      <c r="C72" s="992" t="s">
        <v>971</v>
      </c>
      <c r="D72" s="503">
        <v>60</v>
      </c>
      <c r="E72" s="504">
        <v>111000</v>
      </c>
      <c r="F72" s="611">
        <v>57</v>
      </c>
      <c r="G72" s="1033"/>
      <c r="H72" s="506">
        <v>50</v>
      </c>
      <c r="I72" s="506">
        <v>68</v>
      </c>
      <c r="J72" s="764">
        <v>300</v>
      </c>
      <c r="K72" s="145">
        <v>40</v>
      </c>
      <c r="L72" s="492">
        <v>15</v>
      </c>
      <c r="M72" s="780">
        <v>10000</v>
      </c>
      <c r="N72" s="500">
        <v>0.25</v>
      </c>
      <c r="O72" s="788">
        <v>0.8</v>
      </c>
      <c r="P72" s="492">
        <v>68</v>
      </c>
      <c r="Q72" s="507"/>
      <c r="R72" s="201" t="s">
        <v>413</v>
      </c>
      <c r="S72" s="201"/>
      <c r="T72" s="1277">
        <v>9618.5</v>
      </c>
      <c r="U72" s="506"/>
      <c r="V72" s="506">
        <v>8.88</v>
      </c>
      <c r="W72" s="506">
        <v>10.584</v>
      </c>
      <c r="X72" s="506"/>
      <c r="Y72" s="823">
        <v>19.464</v>
      </c>
      <c r="Z72" s="831">
        <v>56.67823333333334</v>
      </c>
      <c r="AA72" s="832"/>
      <c r="AB72" s="826"/>
      <c r="AC72" s="939">
        <v>1242</v>
      </c>
      <c r="AD72" s="826" t="s">
        <v>483</v>
      </c>
      <c r="AE72" s="826">
        <v>1</v>
      </c>
      <c r="AF72" s="804">
        <v>1086</v>
      </c>
      <c r="AG72" s="138">
        <v>1090</v>
      </c>
      <c r="AH72" s="138">
        <v>1090</v>
      </c>
    </row>
    <row r="73" spans="1:34" ht="14.25">
      <c r="A73" s="990">
        <v>1087</v>
      </c>
      <c r="B73" s="991" t="s">
        <v>1501</v>
      </c>
      <c r="C73" s="991" t="s">
        <v>972</v>
      </c>
      <c r="D73" s="1027">
        <v>75</v>
      </c>
      <c r="E73" s="1028">
        <v>141000</v>
      </c>
      <c r="F73" s="1029">
        <v>70</v>
      </c>
      <c r="G73" s="1030"/>
      <c r="H73" s="613">
        <v>61</v>
      </c>
      <c r="I73" s="613">
        <v>84</v>
      </c>
      <c r="J73" s="1031">
        <v>300</v>
      </c>
      <c r="K73" s="1032">
        <v>40</v>
      </c>
      <c r="L73" s="1251">
        <v>15</v>
      </c>
      <c r="M73" s="1232">
        <v>10000</v>
      </c>
      <c r="N73" s="1264">
        <v>0.25</v>
      </c>
      <c r="O73" s="815">
        <v>0.8</v>
      </c>
      <c r="P73" s="812">
        <v>71</v>
      </c>
      <c r="Q73" s="603"/>
      <c r="R73" s="605" t="s">
        <v>413</v>
      </c>
      <c r="S73" s="606"/>
      <c r="T73" s="1278">
        <v>11742.5</v>
      </c>
      <c r="U73" s="604"/>
      <c r="V73" s="613">
        <v>11.280000000000001</v>
      </c>
      <c r="W73" s="613">
        <v>13.23</v>
      </c>
      <c r="X73" s="604"/>
      <c r="Y73" s="827">
        <v>24.51</v>
      </c>
      <c r="Z73" s="828">
        <v>70.01683333333334</v>
      </c>
      <c r="AA73" s="829"/>
      <c r="AB73" s="830"/>
      <c r="AC73" s="940">
        <v>1302</v>
      </c>
      <c r="AD73" s="830" t="s">
        <v>483</v>
      </c>
      <c r="AE73" s="830">
        <v>1</v>
      </c>
      <c r="AF73" s="803">
        <v>1087</v>
      </c>
      <c r="AG73" s="138">
        <v>1090</v>
      </c>
      <c r="AH73" s="138">
        <v>1090</v>
      </c>
    </row>
    <row r="74" spans="1:34" ht="28.5">
      <c r="A74" s="154">
        <v>1090</v>
      </c>
      <c r="B74" s="992" t="s">
        <v>1501</v>
      </c>
      <c r="C74" s="992" t="s">
        <v>1204</v>
      </c>
      <c r="D74" s="508" t="s">
        <v>347</v>
      </c>
      <c r="E74" s="504">
        <v>2400</v>
      </c>
      <c r="F74" s="612">
        <v>2.4</v>
      </c>
      <c r="G74" s="1033"/>
      <c r="H74" s="506">
        <v>2.1</v>
      </c>
      <c r="I74" s="506">
        <v>2.9</v>
      </c>
      <c r="J74" s="764">
        <v>150</v>
      </c>
      <c r="K74" s="145" t="s">
        <v>347</v>
      </c>
      <c r="L74" s="492">
        <v>18</v>
      </c>
      <c r="M74" s="780">
        <v>4000</v>
      </c>
      <c r="N74" s="500">
        <v>0</v>
      </c>
      <c r="O74" s="788">
        <v>1.3</v>
      </c>
      <c r="P74" s="492">
        <v>5</v>
      </c>
      <c r="Q74" s="507"/>
      <c r="R74" s="201" t="s">
        <v>413</v>
      </c>
      <c r="S74" s="201"/>
      <c r="T74" s="1277">
        <v>204.13333333333335</v>
      </c>
      <c r="U74" s="506"/>
      <c r="V74" s="506">
        <v>0.78</v>
      </c>
      <c r="W74" s="506"/>
      <c r="X74" s="506"/>
      <c r="Y74" s="823">
        <v>0.78</v>
      </c>
      <c r="Z74" s="831">
        <v>2.354977777777778</v>
      </c>
      <c r="AA74" s="832"/>
      <c r="AB74" s="826"/>
      <c r="AC74" s="939">
        <v>4.8</v>
      </c>
      <c r="AD74" s="826" t="s">
        <v>483</v>
      </c>
      <c r="AE74" s="826">
        <v>0</v>
      </c>
      <c r="AF74" s="804">
        <v>1090</v>
      </c>
      <c r="AG74" s="138">
        <v>1090</v>
      </c>
      <c r="AH74" s="138">
        <v>1090</v>
      </c>
    </row>
    <row r="75" spans="1:32" ht="14.25">
      <c r="A75" s="496"/>
      <c r="B75" s="761"/>
      <c r="C75" s="496"/>
      <c r="D75" s="503"/>
      <c r="E75" s="504"/>
      <c r="F75" s="505"/>
      <c r="G75" s="496"/>
      <c r="H75" s="506"/>
      <c r="I75" s="506"/>
      <c r="J75" s="764"/>
      <c r="K75" s="495"/>
      <c r="L75" s="496"/>
      <c r="M75" s="780"/>
      <c r="N75" s="500" t="s">
        <v>413</v>
      </c>
      <c r="O75" s="788" t="s">
        <v>413</v>
      </c>
      <c r="P75" s="810"/>
      <c r="Q75" s="609">
        <v>0.05</v>
      </c>
      <c r="R75" s="610">
        <v>3650.5</v>
      </c>
      <c r="S75" s="610">
        <v>735</v>
      </c>
      <c r="T75" s="1277" t="s">
        <v>413</v>
      </c>
      <c r="U75" s="608">
        <v>36.69</v>
      </c>
      <c r="V75" s="506"/>
      <c r="W75" s="506"/>
      <c r="X75" s="608">
        <v>1.4000000000000001</v>
      </c>
      <c r="Y75" s="823" t="s">
        <v>413</v>
      </c>
      <c r="Z75" s="831"/>
      <c r="AA75" s="832"/>
      <c r="AB75" s="802"/>
      <c r="AC75" s="939" t="s">
        <v>413</v>
      </c>
      <c r="AD75" s="826" t="s">
        <v>413</v>
      </c>
      <c r="AE75" s="826"/>
      <c r="AF75" s="802"/>
    </row>
    <row r="76" spans="1:32" ht="14.25">
      <c r="A76" s="987">
        <v>1100</v>
      </c>
      <c r="B76" s="988"/>
      <c r="C76" s="989" t="s">
        <v>495</v>
      </c>
      <c r="D76" s="1021"/>
      <c r="E76" s="1022"/>
      <c r="F76" s="1023"/>
      <c r="G76" s="1024"/>
      <c r="H76" s="1025"/>
      <c r="I76" s="1025"/>
      <c r="J76" s="1026"/>
      <c r="K76" s="1026"/>
      <c r="L76" s="1021"/>
      <c r="M76" s="1026"/>
      <c r="N76" s="1263" t="s">
        <v>413</v>
      </c>
      <c r="O76" s="816" t="s">
        <v>413</v>
      </c>
      <c r="P76" s="809"/>
      <c r="Q76" s="507">
        <v>0.05</v>
      </c>
      <c r="R76" s="201">
        <v>4395.5</v>
      </c>
      <c r="S76" s="201">
        <v>855</v>
      </c>
      <c r="T76" s="1276" t="s">
        <v>413</v>
      </c>
      <c r="U76" s="506">
        <v>36.505714285714284</v>
      </c>
      <c r="V76" s="1025"/>
      <c r="W76" s="1025"/>
      <c r="X76" s="506">
        <v>1.4000000000000001</v>
      </c>
      <c r="Y76" s="833" t="s">
        <v>413</v>
      </c>
      <c r="Z76" s="820"/>
      <c r="AA76" s="821"/>
      <c r="AB76" s="822"/>
      <c r="AC76" s="938" t="s">
        <v>413</v>
      </c>
      <c r="AD76" s="822" t="s">
        <v>413</v>
      </c>
      <c r="AE76" s="822"/>
      <c r="AF76" s="801">
        <v>1100</v>
      </c>
    </row>
    <row r="77" spans="1:32" ht="14.25">
      <c r="A77" s="496"/>
      <c r="B77" s="761"/>
      <c r="C77" s="496"/>
      <c r="D77" s="508"/>
      <c r="E77" s="504"/>
      <c r="F77" s="509"/>
      <c r="G77" s="496"/>
      <c r="H77" s="506"/>
      <c r="I77" s="506"/>
      <c r="J77" s="764"/>
      <c r="K77" s="495"/>
      <c r="L77" s="496"/>
      <c r="M77" s="764"/>
      <c r="N77" s="500" t="s">
        <v>413</v>
      </c>
      <c r="O77" s="788" t="s">
        <v>413</v>
      </c>
      <c r="P77" s="810"/>
      <c r="Q77" s="609">
        <v>0.05</v>
      </c>
      <c r="R77" s="610">
        <v>4991.5</v>
      </c>
      <c r="S77" s="610">
        <v>900</v>
      </c>
      <c r="T77" s="1277" t="s">
        <v>413</v>
      </c>
      <c r="U77" s="608">
        <v>35.2275</v>
      </c>
      <c r="V77" s="506"/>
      <c r="W77" s="506"/>
      <c r="X77" s="608">
        <v>1.4000000000000001</v>
      </c>
      <c r="Y77" s="823" t="s">
        <v>413</v>
      </c>
      <c r="Z77" s="831"/>
      <c r="AA77" s="832"/>
      <c r="AB77" s="802"/>
      <c r="AC77" s="939" t="s">
        <v>413</v>
      </c>
      <c r="AD77" s="826" t="s">
        <v>413</v>
      </c>
      <c r="AE77" s="826"/>
      <c r="AF77" s="802"/>
    </row>
    <row r="78" spans="1:32" ht="28.5">
      <c r="A78" s="990">
        <v>1101</v>
      </c>
      <c r="B78" s="991"/>
      <c r="C78" s="991" t="s">
        <v>973</v>
      </c>
      <c r="D78" s="1027">
        <v>20</v>
      </c>
      <c r="E78" s="1028">
        <v>45000</v>
      </c>
      <c r="F78" s="1029">
        <v>30</v>
      </c>
      <c r="G78" s="1030"/>
      <c r="H78" s="613">
        <v>26</v>
      </c>
      <c r="I78" s="613">
        <v>36</v>
      </c>
      <c r="J78" s="1031">
        <v>250</v>
      </c>
      <c r="K78" s="1032">
        <v>40</v>
      </c>
      <c r="L78" s="1251">
        <v>12</v>
      </c>
      <c r="M78" s="1232">
        <v>7000</v>
      </c>
      <c r="N78" s="1264">
        <v>0.25</v>
      </c>
      <c r="O78" s="815">
        <v>1.2</v>
      </c>
      <c r="P78" s="812">
        <v>22</v>
      </c>
      <c r="Q78" s="507">
        <v>0.05</v>
      </c>
      <c r="R78" s="201">
        <v>5662</v>
      </c>
      <c r="S78" s="201">
        <v>930</v>
      </c>
      <c r="T78" s="1278">
        <v>3976</v>
      </c>
      <c r="U78" s="506">
        <v>38.82</v>
      </c>
      <c r="V78" s="613">
        <v>7.714285714285714</v>
      </c>
      <c r="W78" s="613">
        <v>3.528</v>
      </c>
      <c r="X78" s="506">
        <v>1.4000000000000001</v>
      </c>
      <c r="Y78" s="827">
        <v>11.242285714285714</v>
      </c>
      <c r="Z78" s="840">
        <v>29.860914285714287</v>
      </c>
      <c r="AA78" s="841"/>
      <c r="AB78" s="842"/>
      <c r="AC78" s="940">
        <v>90</v>
      </c>
      <c r="AD78" s="830" t="s">
        <v>483</v>
      </c>
      <c r="AE78" s="842">
        <v>1</v>
      </c>
      <c r="AF78" s="803">
        <v>1101</v>
      </c>
    </row>
    <row r="79" spans="1:32" ht="28.5">
      <c r="A79" s="154">
        <v>1102</v>
      </c>
      <c r="B79" s="992"/>
      <c r="C79" s="992" t="s">
        <v>974</v>
      </c>
      <c r="D79" s="503">
        <v>44</v>
      </c>
      <c r="E79" s="504">
        <v>71000</v>
      </c>
      <c r="F79" s="611">
        <v>48</v>
      </c>
      <c r="G79" s="1033"/>
      <c r="H79" s="506">
        <v>43</v>
      </c>
      <c r="I79" s="506">
        <v>57</v>
      </c>
      <c r="J79" s="764">
        <v>250</v>
      </c>
      <c r="K79" s="145">
        <v>40</v>
      </c>
      <c r="L79" s="492">
        <v>12</v>
      </c>
      <c r="M79" s="780">
        <v>7000</v>
      </c>
      <c r="N79" s="500">
        <v>0.25</v>
      </c>
      <c r="O79" s="788">
        <v>1.1</v>
      </c>
      <c r="P79" s="492">
        <v>32</v>
      </c>
      <c r="Q79" s="609">
        <v>0.05</v>
      </c>
      <c r="R79" s="610">
        <v>6854</v>
      </c>
      <c r="S79" s="610">
        <v>960</v>
      </c>
      <c r="T79" s="1277">
        <v>6238</v>
      </c>
      <c r="U79" s="608">
        <v>36.072</v>
      </c>
      <c r="V79" s="506">
        <v>11.157142857142858</v>
      </c>
      <c r="W79" s="506">
        <v>7.7616000000000005</v>
      </c>
      <c r="X79" s="608">
        <v>1.4000000000000001</v>
      </c>
      <c r="Y79" s="823">
        <v>18.91874285714286</v>
      </c>
      <c r="Z79" s="843">
        <v>48.25781714285715</v>
      </c>
      <c r="AA79" s="844"/>
      <c r="AB79" s="845"/>
      <c r="AC79" s="939">
        <v>142</v>
      </c>
      <c r="AD79" s="826" t="s">
        <v>483</v>
      </c>
      <c r="AE79" s="845">
        <v>1</v>
      </c>
      <c r="AF79" s="804">
        <v>1102</v>
      </c>
    </row>
    <row r="80" spans="1:32" ht="14.25">
      <c r="A80" s="990">
        <v>1103</v>
      </c>
      <c r="B80" s="991"/>
      <c r="C80" s="991" t="s">
        <v>1503</v>
      </c>
      <c r="D80" s="1027">
        <v>50</v>
      </c>
      <c r="E80" s="1028">
        <v>80000</v>
      </c>
      <c r="F80" s="1029">
        <v>42</v>
      </c>
      <c r="G80" s="1030"/>
      <c r="H80" s="613">
        <v>37</v>
      </c>
      <c r="I80" s="613">
        <v>50</v>
      </c>
      <c r="J80" s="1031">
        <v>300</v>
      </c>
      <c r="K80" s="1032">
        <v>40</v>
      </c>
      <c r="L80" s="1251">
        <v>15</v>
      </c>
      <c r="M80" s="1232">
        <v>10000</v>
      </c>
      <c r="N80" s="1264">
        <v>0.25</v>
      </c>
      <c r="O80" s="815">
        <v>0.9</v>
      </c>
      <c r="P80" s="812">
        <v>48</v>
      </c>
      <c r="Q80" s="507">
        <v>0.05</v>
      </c>
      <c r="R80" s="201">
        <v>8269.5</v>
      </c>
      <c r="S80" s="201">
        <v>1020</v>
      </c>
      <c r="T80" s="1278">
        <v>6664</v>
      </c>
      <c r="U80" s="506">
        <v>35.105</v>
      </c>
      <c r="V80" s="613">
        <v>7.2</v>
      </c>
      <c r="W80" s="613">
        <v>8.82</v>
      </c>
      <c r="X80" s="506">
        <v>1.4000000000000001</v>
      </c>
      <c r="Y80" s="827">
        <v>16.02</v>
      </c>
      <c r="Z80" s="828">
        <v>42.05666666666667</v>
      </c>
      <c r="AA80" s="829"/>
      <c r="AB80" s="830"/>
      <c r="AC80" s="940">
        <v>640</v>
      </c>
      <c r="AD80" s="830" t="s">
        <v>483</v>
      </c>
      <c r="AE80" s="830">
        <v>1</v>
      </c>
      <c r="AF80" s="803">
        <v>1103</v>
      </c>
    </row>
    <row r="81" spans="1:32" ht="14.25">
      <c r="A81" s="154">
        <v>1104</v>
      </c>
      <c r="B81" s="992"/>
      <c r="C81" s="763" t="s">
        <v>1504</v>
      </c>
      <c r="D81" s="503">
        <v>75</v>
      </c>
      <c r="E81" s="504">
        <v>98000</v>
      </c>
      <c r="F81" s="611">
        <v>48</v>
      </c>
      <c r="G81" s="1033"/>
      <c r="H81" s="506">
        <v>43</v>
      </c>
      <c r="I81" s="506">
        <v>56</v>
      </c>
      <c r="J81" s="764">
        <v>400</v>
      </c>
      <c r="K81" s="145">
        <v>40</v>
      </c>
      <c r="L81" s="492">
        <v>15</v>
      </c>
      <c r="M81" s="780">
        <v>10000</v>
      </c>
      <c r="N81" s="500">
        <v>0.1</v>
      </c>
      <c r="O81" s="788">
        <v>0.85</v>
      </c>
      <c r="P81" s="492">
        <v>59</v>
      </c>
      <c r="Q81" s="609">
        <v>0.05</v>
      </c>
      <c r="R81" s="610">
        <v>9461.5</v>
      </c>
      <c r="S81" s="610">
        <v>1065</v>
      </c>
      <c r="T81" s="1277">
        <v>8891</v>
      </c>
      <c r="U81" s="608">
        <v>39.335</v>
      </c>
      <c r="V81" s="506">
        <v>8.33</v>
      </c>
      <c r="W81" s="506">
        <v>13.23</v>
      </c>
      <c r="X81" s="608">
        <v>1.4000000000000001</v>
      </c>
      <c r="Y81" s="823">
        <v>21.560000000000002</v>
      </c>
      <c r="Z81" s="831">
        <v>48.166250000000005</v>
      </c>
      <c r="AA81" s="832"/>
      <c r="AB81" s="826"/>
      <c r="AC81" s="939">
        <v>676</v>
      </c>
      <c r="AD81" s="826" t="s">
        <v>483</v>
      </c>
      <c r="AE81" s="826">
        <v>1</v>
      </c>
      <c r="AF81" s="804">
        <v>1104</v>
      </c>
    </row>
    <row r="82" spans="1:32" ht="14.25">
      <c r="A82" s="990">
        <v>1106</v>
      </c>
      <c r="B82" s="991"/>
      <c r="C82" s="993" t="s">
        <v>1505</v>
      </c>
      <c r="D82" s="1027">
        <v>90</v>
      </c>
      <c r="E82" s="1028">
        <v>115000</v>
      </c>
      <c r="F82" s="1029">
        <v>51</v>
      </c>
      <c r="G82" s="1030"/>
      <c r="H82" s="613">
        <v>46</v>
      </c>
      <c r="I82" s="613">
        <v>58</v>
      </c>
      <c r="J82" s="1039">
        <v>500</v>
      </c>
      <c r="K82" s="1032">
        <v>40</v>
      </c>
      <c r="L82" s="1251">
        <v>15</v>
      </c>
      <c r="M82" s="1232">
        <v>10000</v>
      </c>
      <c r="N82" s="1264">
        <v>0.1</v>
      </c>
      <c r="O82" s="815">
        <v>0.85</v>
      </c>
      <c r="P82" s="812">
        <v>63</v>
      </c>
      <c r="Q82" s="507">
        <v>0.02</v>
      </c>
      <c r="R82" s="201">
        <v>199.04444444444445</v>
      </c>
      <c r="S82" s="201">
        <v>35</v>
      </c>
      <c r="T82" s="1278">
        <v>10269</v>
      </c>
      <c r="U82" s="506">
        <v>1.594962962962963</v>
      </c>
      <c r="V82" s="613">
        <v>9.775</v>
      </c>
      <c r="W82" s="613">
        <v>15.876000000000001</v>
      </c>
      <c r="X82" s="506">
        <v>0.56</v>
      </c>
      <c r="Y82" s="827">
        <v>25.651000000000003</v>
      </c>
      <c r="Z82" s="828">
        <v>50.80790000000001</v>
      </c>
      <c r="AA82" s="829"/>
      <c r="AB82" s="830"/>
      <c r="AC82" s="940">
        <v>710</v>
      </c>
      <c r="AD82" s="830" t="s">
        <v>483</v>
      </c>
      <c r="AE82" s="830">
        <v>1</v>
      </c>
      <c r="AF82" s="803">
        <v>1106</v>
      </c>
    </row>
    <row r="83" spans="1:32" ht="14.25">
      <c r="A83" s="154">
        <v>1105</v>
      </c>
      <c r="B83" s="992"/>
      <c r="C83" s="992" t="s">
        <v>496</v>
      </c>
      <c r="D83" s="503">
        <v>15</v>
      </c>
      <c r="E83" s="504">
        <v>25000</v>
      </c>
      <c r="F83" s="611">
        <v>19</v>
      </c>
      <c r="G83" s="1037"/>
      <c r="H83" s="506">
        <v>17</v>
      </c>
      <c r="I83" s="506">
        <v>23</v>
      </c>
      <c r="J83" s="764">
        <v>200</v>
      </c>
      <c r="K83" s="145">
        <v>40</v>
      </c>
      <c r="L83" s="492">
        <v>15</v>
      </c>
      <c r="M83" s="780">
        <v>6000</v>
      </c>
      <c r="N83" s="500">
        <v>0.25</v>
      </c>
      <c r="O83" s="788">
        <v>0.9</v>
      </c>
      <c r="P83" s="492">
        <v>25</v>
      </c>
      <c r="Q83" s="507"/>
      <c r="R83" s="201" t="s">
        <v>413</v>
      </c>
      <c r="S83" s="201"/>
      <c r="T83" s="1277">
        <v>1887.5</v>
      </c>
      <c r="U83" s="506"/>
      <c r="V83" s="506">
        <v>3.7500000000000004</v>
      </c>
      <c r="W83" s="506">
        <v>4.35</v>
      </c>
      <c r="X83" s="506"/>
      <c r="Y83" s="823">
        <v>8.1</v>
      </c>
      <c r="Z83" s="831">
        <v>19.29125</v>
      </c>
      <c r="AA83" s="836"/>
      <c r="AB83" s="826"/>
      <c r="AC83" s="939">
        <v>50</v>
      </c>
      <c r="AD83" s="826" t="s">
        <v>483</v>
      </c>
      <c r="AE83" s="826">
        <v>2</v>
      </c>
      <c r="AF83" s="804">
        <v>1105</v>
      </c>
    </row>
    <row r="84" spans="1:32" ht="14.25">
      <c r="A84" s="154"/>
      <c r="B84" s="992"/>
      <c r="C84" s="992"/>
      <c r="D84" s="503"/>
      <c r="E84" s="504"/>
      <c r="F84" s="505"/>
      <c r="G84" s="1033"/>
      <c r="H84" s="506"/>
      <c r="I84" s="506"/>
      <c r="J84" s="764"/>
      <c r="L84" s="492"/>
      <c r="M84" s="780"/>
      <c r="N84" s="500" t="s">
        <v>413</v>
      </c>
      <c r="O84" s="788" t="s">
        <v>413</v>
      </c>
      <c r="P84" s="492"/>
      <c r="Q84" s="603"/>
      <c r="R84" s="605" t="s">
        <v>413</v>
      </c>
      <c r="S84" s="606"/>
      <c r="T84" s="1277" t="s">
        <v>413</v>
      </c>
      <c r="U84" s="604"/>
      <c r="V84" s="506"/>
      <c r="W84" s="506"/>
      <c r="X84" s="604"/>
      <c r="Y84" s="823" t="s">
        <v>413</v>
      </c>
      <c r="Z84" s="831"/>
      <c r="AA84" s="839"/>
      <c r="AB84" s="826"/>
      <c r="AC84" s="939" t="s">
        <v>413</v>
      </c>
      <c r="AD84" s="826" t="s">
        <v>413</v>
      </c>
      <c r="AE84" s="826"/>
      <c r="AF84" s="804"/>
    </row>
    <row r="85" spans="1:32" ht="28.5">
      <c r="A85" s="987">
        <v>1120</v>
      </c>
      <c r="B85" s="988"/>
      <c r="C85" s="989" t="s">
        <v>497</v>
      </c>
      <c r="D85" s="1021"/>
      <c r="E85" s="1022"/>
      <c r="F85" s="1023"/>
      <c r="G85" s="1024"/>
      <c r="H85" s="1025"/>
      <c r="I85" s="1025"/>
      <c r="J85" s="1026"/>
      <c r="K85" s="1026"/>
      <c r="L85" s="1021"/>
      <c r="M85" s="1026"/>
      <c r="N85" s="1263" t="s">
        <v>413</v>
      </c>
      <c r="O85" s="816" t="s">
        <v>413</v>
      </c>
      <c r="P85" s="809"/>
      <c r="Q85" s="507"/>
      <c r="R85" s="201" t="s">
        <v>413</v>
      </c>
      <c r="S85" s="201"/>
      <c r="T85" s="1276" t="s">
        <v>413</v>
      </c>
      <c r="U85" s="506"/>
      <c r="V85" s="1025"/>
      <c r="W85" s="1025"/>
      <c r="X85" s="506"/>
      <c r="Y85" s="833" t="s">
        <v>413</v>
      </c>
      <c r="Z85" s="820"/>
      <c r="AA85" s="821"/>
      <c r="AB85" s="822"/>
      <c r="AC85" s="938" t="s">
        <v>413</v>
      </c>
      <c r="AD85" s="822" t="s">
        <v>413</v>
      </c>
      <c r="AE85" s="822"/>
      <c r="AF85" s="801">
        <v>1120</v>
      </c>
    </row>
    <row r="86" spans="1:32" ht="14.25">
      <c r="A86" s="496"/>
      <c r="B86" s="761"/>
      <c r="C86" s="496"/>
      <c r="D86" s="508"/>
      <c r="E86" s="504"/>
      <c r="F86" s="509"/>
      <c r="G86" s="496"/>
      <c r="H86" s="506"/>
      <c r="I86" s="506"/>
      <c r="J86" s="764"/>
      <c r="K86" s="495"/>
      <c r="L86" s="496"/>
      <c r="M86" s="764"/>
      <c r="N86" s="500" t="s">
        <v>413</v>
      </c>
      <c r="O86" s="788" t="s">
        <v>413</v>
      </c>
      <c r="P86" s="810"/>
      <c r="Q86" s="609">
        <v>0.05</v>
      </c>
      <c r="R86" s="610">
        <v>4089</v>
      </c>
      <c r="S86" s="610">
        <v>330</v>
      </c>
      <c r="T86" s="1277" t="s">
        <v>413</v>
      </c>
      <c r="U86" s="608">
        <v>18.052</v>
      </c>
      <c r="V86" s="506"/>
      <c r="W86" s="506"/>
      <c r="X86" s="608">
        <v>1.4000000000000001</v>
      </c>
      <c r="Y86" s="823" t="s">
        <v>413</v>
      </c>
      <c r="Z86" s="831"/>
      <c r="AA86" s="832"/>
      <c r="AB86" s="802"/>
      <c r="AC86" s="939" t="s">
        <v>413</v>
      </c>
      <c r="AD86" s="826" t="s">
        <v>413</v>
      </c>
      <c r="AE86" s="826"/>
      <c r="AF86" s="802"/>
    </row>
    <row r="87" spans="1:32" ht="14.25">
      <c r="A87" s="994">
        <v>1121</v>
      </c>
      <c r="B87" s="991"/>
      <c r="C87" s="991" t="s">
        <v>1383</v>
      </c>
      <c r="D87" s="1040">
        <v>33</v>
      </c>
      <c r="E87" s="1028">
        <v>10000</v>
      </c>
      <c r="F87" s="1041">
        <v>27</v>
      </c>
      <c r="G87" s="1042">
        <v>83</v>
      </c>
      <c r="H87" s="620">
        <v>74</v>
      </c>
      <c r="I87" s="620">
        <v>97</v>
      </c>
      <c r="J87" s="1043">
        <v>25</v>
      </c>
      <c r="K87" s="1032">
        <v>60</v>
      </c>
      <c r="L87" s="1251">
        <v>12</v>
      </c>
      <c r="M87" s="1043">
        <v>700</v>
      </c>
      <c r="N87" s="1264">
        <v>0.25</v>
      </c>
      <c r="O87" s="815">
        <v>1.95</v>
      </c>
      <c r="P87" s="812">
        <v>15</v>
      </c>
      <c r="Q87" s="507">
        <v>0.05</v>
      </c>
      <c r="R87" s="201">
        <v>6612</v>
      </c>
      <c r="S87" s="201">
        <v>480</v>
      </c>
      <c r="T87" s="1278">
        <v>1015</v>
      </c>
      <c r="U87" s="506">
        <v>28.976</v>
      </c>
      <c r="V87" s="620">
        <v>27.857142857142858</v>
      </c>
      <c r="W87" s="620">
        <v>6.59090909090909</v>
      </c>
      <c r="X87" s="506">
        <v>1.4000000000000001</v>
      </c>
      <c r="Y87" s="846">
        <v>34.44805194805195</v>
      </c>
      <c r="Z87" s="828">
        <v>27.24244285714286</v>
      </c>
      <c r="AA87" s="828">
        <v>82.55285714285715</v>
      </c>
      <c r="AB87" s="847">
        <v>5</v>
      </c>
      <c r="AC87" s="940">
        <v>20</v>
      </c>
      <c r="AD87" s="830" t="s">
        <v>484</v>
      </c>
      <c r="AE87" s="830">
        <v>2</v>
      </c>
      <c r="AF87" s="803">
        <v>1121</v>
      </c>
    </row>
    <row r="88" spans="1:32" ht="14.25">
      <c r="A88" s="154">
        <v>1122</v>
      </c>
      <c r="B88" s="992"/>
      <c r="C88" s="992" t="s">
        <v>975</v>
      </c>
      <c r="D88" s="510">
        <v>50</v>
      </c>
      <c r="E88" s="504">
        <v>17000</v>
      </c>
      <c r="F88" s="509">
        <v>47</v>
      </c>
      <c r="G88" s="1044">
        <v>94</v>
      </c>
      <c r="H88" s="511">
        <v>84</v>
      </c>
      <c r="I88" s="511">
        <v>111</v>
      </c>
      <c r="J88" s="766">
        <v>35</v>
      </c>
      <c r="K88" s="145">
        <v>60</v>
      </c>
      <c r="L88" s="492">
        <v>12</v>
      </c>
      <c r="M88" s="782">
        <v>1000</v>
      </c>
      <c r="N88" s="500">
        <v>0.25</v>
      </c>
      <c r="O88" s="788">
        <v>1.8</v>
      </c>
      <c r="P88" s="492">
        <v>17</v>
      </c>
      <c r="Q88" s="609">
        <v>0.05</v>
      </c>
      <c r="R88" s="610">
        <v>5438.5</v>
      </c>
      <c r="S88" s="610">
        <v>720</v>
      </c>
      <c r="T88" s="1277">
        <v>1615</v>
      </c>
      <c r="U88" s="608">
        <v>22.615</v>
      </c>
      <c r="V88" s="511">
        <v>30.6</v>
      </c>
      <c r="W88" s="511">
        <v>8.7</v>
      </c>
      <c r="X88" s="608">
        <v>1.4000000000000001</v>
      </c>
      <c r="Y88" s="848">
        <v>39.3</v>
      </c>
      <c r="Z88" s="831">
        <v>46.99357142857143</v>
      </c>
      <c r="AA88" s="831">
        <v>93.98714285714287</v>
      </c>
      <c r="AB88" s="849">
        <v>10</v>
      </c>
      <c r="AC88" s="939">
        <v>34</v>
      </c>
      <c r="AD88" s="826" t="s">
        <v>484</v>
      </c>
      <c r="AE88" s="826">
        <v>2</v>
      </c>
      <c r="AF88" s="804">
        <v>1122</v>
      </c>
    </row>
    <row r="89" spans="1:32" ht="28.5">
      <c r="A89" s="990">
        <v>1123</v>
      </c>
      <c r="B89" s="991" t="s">
        <v>1501</v>
      </c>
      <c r="C89" s="991" t="s">
        <v>498</v>
      </c>
      <c r="D89" s="1040">
        <v>50</v>
      </c>
      <c r="E89" s="1028">
        <v>21000</v>
      </c>
      <c r="F89" s="1041">
        <v>51</v>
      </c>
      <c r="G89" s="1042">
        <v>101</v>
      </c>
      <c r="H89" s="620">
        <v>90</v>
      </c>
      <c r="I89" s="620">
        <v>119</v>
      </c>
      <c r="J89" s="1043">
        <v>40</v>
      </c>
      <c r="K89" s="1032">
        <v>60</v>
      </c>
      <c r="L89" s="1251">
        <v>12</v>
      </c>
      <c r="M89" s="1252">
        <v>1000</v>
      </c>
      <c r="N89" s="1264">
        <v>0.25</v>
      </c>
      <c r="O89" s="815">
        <v>1.65</v>
      </c>
      <c r="P89" s="812">
        <v>17</v>
      </c>
      <c r="Q89" s="618">
        <v>0.05</v>
      </c>
      <c r="R89" s="619">
        <v>8120.5</v>
      </c>
      <c r="S89" s="619">
        <v>885</v>
      </c>
      <c r="T89" s="1278">
        <v>1943</v>
      </c>
      <c r="U89" s="617">
        <v>27.724285714285713</v>
      </c>
      <c r="V89" s="620">
        <v>34.65</v>
      </c>
      <c r="W89" s="620">
        <v>8.7</v>
      </c>
      <c r="X89" s="617">
        <v>1.4000000000000001</v>
      </c>
      <c r="Y89" s="846">
        <v>43.349999999999994</v>
      </c>
      <c r="Z89" s="828">
        <v>50.55875</v>
      </c>
      <c r="AA89" s="828">
        <v>101.1175</v>
      </c>
      <c r="AB89" s="847">
        <v>10</v>
      </c>
      <c r="AC89" s="940">
        <v>42</v>
      </c>
      <c r="AD89" s="830" t="s">
        <v>484</v>
      </c>
      <c r="AE89" s="830">
        <v>2</v>
      </c>
      <c r="AF89" s="803">
        <v>1123</v>
      </c>
    </row>
    <row r="90" spans="1:32" ht="42.75">
      <c r="A90" s="154">
        <v>1130</v>
      </c>
      <c r="B90" s="992" t="s">
        <v>1501</v>
      </c>
      <c r="C90" s="992" t="s">
        <v>1384</v>
      </c>
      <c r="D90" s="510">
        <v>80</v>
      </c>
      <c r="E90" s="504">
        <v>31500</v>
      </c>
      <c r="F90" s="509">
        <v>80</v>
      </c>
      <c r="G90" s="1044">
        <v>100</v>
      </c>
      <c r="H90" s="511">
        <v>89</v>
      </c>
      <c r="I90" s="511">
        <v>119</v>
      </c>
      <c r="J90" s="766">
        <v>55</v>
      </c>
      <c r="K90" s="145">
        <v>60</v>
      </c>
      <c r="L90" s="492">
        <v>12</v>
      </c>
      <c r="M90" s="782">
        <v>1300</v>
      </c>
      <c r="N90" s="500">
        <v>0.25</v>
      </c>
      <c r="O90" s="1269">
        <v>1.35</v>
      </c>
      <c r="P90" s="492">
        <v>20</v>
      </c>
      <c r="Q90" s="609">
        <v>0.05</v>
      </c>
      <c r="R90" s="610">
        <v>2011.5</v>
      </c>
      <c r="S90" s="610">
        <v>175</v>
      </c>
      <c r="T90" s="1277">
        <v>2843</v>
      </c>
      <c r="U90" s="608">
        <v>11.2025</v>
      </c>
      <c r="V90" s="511">
        <v>32.71153846153846</v>
      </c>
      <c r="W90" s="511">
        <v>6.525</v>
      </c>
      <c r="X90" s="608">
        <v>1.4000000000000001</v>
      </c>
      <c r="Y90" s="848">
        <v>39.23653846153846</v>
      </c>
      <c r="Z90" s="831">
        <v>80.01615384615384</v>
      </c>
      <c r="AA90" s="831">
        <v>100.02019230769231</v>
      </c>
      <c r="AB90" s="849">
        <v>12</v>
      </c>
      <c r="AC90" s="939">
        <v>63</v>
      </c>
      <c r="AD90" s="826" t="s">
        <v>484</v>
      </c>
      <c r="AE90" s="826">
        <v>2</v>
      </c>
      <c r="AF90" s="804">
        <v>1130</v>
      </c>
    </row>
    <row r="91" spans="1:32" ht="42.75">
      <c r="A91" s="990">
        <v>1131</v>
      </c>
      <c r="B91" s="991" t="s">
        <v>1501</v>
      </c>
      <c r="C91" s="991" t="s">
        <v>976</v>
      </c>
      <c r="D91" s="1040">
        <v>100</v>
      </c>
      <c r="E91" s="1028">
        <v>37500</v>
      </c>
      <c r="F91" s="1041">
        <v>96</v>
      </c>
      <c r="G91" s="1042">
        <v>96</v>
      </c>
      <c r="H91" s="620">
        <v>86</v>
      </c>
      <c r="I91" s="620">
        <v>114</v>
      </c>
      <c r="J91" s="1043">
        <v>70</v>
      </c>
      <c r="K91" s="1032">
        <v>60</v>
      </c>
      <c r="L91" s="1251">
        <v>12</v>
      </c>
      <c r="M91" s="1252">
        <v>1800</v>
      </c>
      <c r="N91" s="1264">
        <v>0.25</v>
      </c>
      <c r="O91" s="1270">
        <v>1.45</v>
      </c>
      <c r="P91" s="812">
        <v>25</v>
      </c>
      <c r="Q91" s="507"/>
      <c r="R91" s="201" t="s">
        <v>413</v>
      </c>
      <c r="S91" s="201"/>
      <c r="T91" s="1278">
        <v>3400</v>
      </c>
      <c r="U91" s="506"/>
      <c r="V91" s="620">
        <v>30.208333333333332</v>
      </c>
      <c r="W91" s="620">
        <v>8.7</v>
      </c>
      <c r="X91" s="506"/>
      <c r="Y91" s="846">
        <v>38.90833333333333</v>
      </c>
      <c r="Z91" s="828">
        <v>96.2277380952381</v>
      </c>
      <c r="AA91" s="828">
        <v>96.2277380952381</v>
      </c>
      <c r="AB91" s="847">
        <v>20</v>
      </c>
      <c r="AC91" s="940">
        <v>75</v>
      </c>
      <c r="AD91" s="830" t="s">
        <v>484</v>
      </c>
      <c r="AE91" s="830">
        <v>2</v>
      </c>
      <c r="AF91" s="803">
        <v>1131</v>
      </c>
    </row>
    <row r="92" spans="1:32" ht="14.25">
      <c r="A92" s="154">
        <v>1124</v>
      </c>
      <c r="B92" s="992"/>
      <c r="C92" s="992" t="s">
        <v>1323</v>
      </c>
      <c r="D92" s="503">
        <v>5</v>
      </c>
      <c r="E92" s="504">
        <v>7000</v>
      </c>
      <c r="F92" s="612">
        <v>16</v>
      </c>
      <c r="G92" s="1045"/>
      <c r="H92" s="506">
        <v>14</v>
      </c>
      <c r="I92" s="506">
        <v>18</v>
      </c>
      <c r="J92" s="764">
        <v>100</v>
      </c>
      <c r="K92" s="145">
        <v>80</v>
      </c>
      <c r="L92" s="492">
        <v>12</v>
      </c>
      <c r="M92" s="780">
        <v>2500</v>
      </c>
      <c r="N92" s="500">
        <v>0.25</v>
      </c>
      <c r="O92" s="788">
        <v>1.5</v>
      </c>
      <c r="P92" s="492">
        <v>9</v>
      </c>
      <c r="Q92" s="603"/>
      <c r="R92" s="605" t="s">
        <v>413</v>
      </c>
      <c r="S92" s="606"/>
      <c r="T92" s="1277">
        <v>701</v>
      </c>
      <c r="U92" s="604"/>
      <c r="V92" s="506">
        <v>4.199999999999999</v>
      </c>
      <c r="W92" s="506">
        <v>2.9</v>
      </c>
      <c r="X92" s="604"/>
      <c r="Y92" s="823">
        <v>7.1</v>
      </c>
      <c r="Z92" s="831">
        <v>15.521</v>
      </c>
      <c r="AA92" s="836"/>
      <c r="AB92" s="826"/>
      <c r="AC92" s="939">
        <v>24</v>
      </c>
      <c r="AD92" s="826" t="s">
        <v>483</v>
      </c>
      <c r="AE92" s="826">
        <v>2</v>
      </c>
      <c r="AF92" s="804">
        <v>1124</v>
      </c>
    </row>
    <row r="93" spans="1:32" ht="14.25">
      <c r="A93" s="990">
        <v>1125</v>
      </c>
      <c r="B93" s="991"/>
      <c r="C93" s="991" t="s">
        <v>499</v>
      </c>
      <c r="D93" s="1027">
        <v>6</v>
      </c>
      <c r="E93" s="1028">
        <v>6900</v>
      </c>
      <c r="F93" s="1035">
        <v>13.5</v>
      </c>
      <c r="G93" s="1046"/>
      <c r="H93" s="613">
        <v>12</v>
      </c>
      <c r="I93" s="613">
        <v>16</v>
      </c>
      <c r="J93" s="1031">
        <v>150</v>
      </c>
      <c r="K93" s="1032">
        <v>60</v>
      </c>
      <c r="L93" s="1251">
        <v>12</v>
      </c>
      <c r="M93" s="1232">
        <v>4000</v>
      </c>
      <c r="N93" s="1264">
        <v>0.25</v>
      </c>
      <c r="O93" s="815">
        <v>1.8</v>
      </c>
      <c r="P93" s="812">
        <v>12</v>
      </c>
      <c r="Q93" s="507"/>
      <c r="R93" s="201" t="s">
        <v>413</v>
      </c>
      <c r="S93" s="201"/>
      <c r="T93" s="1278">
        <v>956.8</v>
      </c>
      <c r="U93" s="506"/>
      <c r="V93" s="613">
        <v>3.1050000000000004</v>
      </c>
      <c r="W93" s="613">
        <v>2.61</v>
      </c>
      <c r="X93" s="506"/>
      <c r="Y93" s="827">
        <v>5.715</v>
      </c>
      <c r="Z93" s="828">
        <v>13.303033333333335</v>
      </c>
      <c r="AA93" s="829"/>
      <c r="AB93" s="830"/>
      <c r="AC93" s="940">
        <v>248.8</v>
      </c>
      <c r="AD93" s="830" t="s">
        <v>483</v>
      </c>
      <c r="AE93" s="830">
        <v>2</v>
      </c>
      <c r="AF93" s="803">
        <v>1125</v>
      </c>
    </row>
    <row r="94" spans="1:32" ht="14.25">
      <c r="A94" s="154">
        <v>1126</v>
      </c>
      <c r="B94" s="992"/>
      <c r="C94" s="992" t="s">
        <v>500</v>
      </c>
      <c r="D94" s="503">
        <v>8</v>
      </c>
      <c r="E94" s="504">
        <v>9000</v>
      </c>
      <c r="F94" s="612">
        <v>15</v>
      </c>
      <c r="G94" s="1045"/>
      <c r="H94" s="506">
        <v>14</v>
      </c>
      <c r="I94" s="506">
        <v>17</v>
      </c>
      <c r="J94" s="764">
        <v>200</v>
      </c>
      <c r="K94" s="145">
        <v>60</v>
      </c>
      <c r="L94" s="492">
        <v>12</v>
      </c>
      <c r="M94" s="780">
        <v>4000</v>
      </c>
      <c r="N94" s="500">
        <v>0.1</v>
      </c>
      <c r="O94" s="788">
        <v>1.6</v>
      </c>
      <c r="P94" s="492">
        <v>18</v>
      </c>
      <c r="Q94" s="609">
        <v>0.5</v>
      </c>
      <c r="R94" s="610">
        <v>774.3</v>
      </c>
      <c r="S94" s="610">
        <v>225</v>
      </c>
      <c r="T94" s="1277">
        <v>1306</v>
      </c>
      <c r="U94" s="620">
        <v>41.083999999999996</v>
      </c>
      <c r="V94" s="506">
        <v>3.6</v>
      </c>
      <c r="W94" s="506">
        <v>3.48</v>
      </c>
      <c r="X94" s="620">
        <v>14</v>
      </c>
      <c r="Y94" s="823">
        <v>7.08</v>
      </c>
      <c r="Z94" s="831">
        <v>14.971</v>
      </c>
      <c r="AA94" s="832"/>
      <c r="AB94" s="826"/>
      <c r="AC94" s="939">
        <v>253</v>
      </c>
      <c r="AD94" s="826" t="s">
        <v>483</v>
      </c>
      <c r="AE94" s="826">
        <v>2</v>
      </c>
      <c r="AF94" s="804">
        <v>1126</v>
      </c>
    </row>
    <row r="95" spans="1:32" ht="14.25">
      <c r="A95" s="990">
        <v>1127</v>
      </c>
      <c r="B95" s="991"/>
      <c r="C95" s="991" t="s">
        <v>501</v>
      </c>
      <c r="D95" s="1027">
        <v>10</v>
      </c>
      <c r="E95" s="1028">
        <v>14500</v>
      </c>
      <c r="F95" s="1035">
        <v>18</v>
      </c>
      <c r="G95" s="1046"/>
      <c r="H95" s="613">
        <v>17</v>
      </c>
      <c r="I95" s="613">
        <v>21</v>
      </c>
      <c r="J95" s="1031">
        <v>250</v>
      </c>
      <c r="K95" s="1032">
        <v>60</v>
      </c>
      <c r="L95" s="1251">
        <v>12</v>
      </c>
      <c r="M95" s="1232">
        <v>4000</v>
      </c>
      <c r="N95" s="1264">
        <v>0.1</v>
      </c>
      <c r="O95" s="815">
        <v>1.35</v>
      </c>
      <c r="P95" s="812">
        <v>18</v>
      </c>
      <c r="Q95" s="507">
        <v>0.5</v>
      </c>
      <c r="R95" s="201">
        <v>1348.5</v>
      </c>
      <c r="S95" s="201">
        <v>255</v>
      </c>
      <c r="T95" s="1278">
        <v>1817.5</v>
      </c>
      <c r="U95" s="511">
        <v>46.98571428571429</v>
      </c>
      <c r="V95" s="613">
        <v>4.893750000000001</v>
      </c>
      <c r="W95" s="613">
        <v>4.35</v>
      </c>
      <c r="X95" s="511">
        <v>14</v>
      </c>
      <c r="Y95" s="827">
        <v>9.24375</v>
      </c>
      <c r="Z95" s="828">
        <v>18.165125000000003</v>
      </c>
      <c r="AA95" s="829"/>
      <c r="AB95" s="830"/>
      <c r="AC95" s="940">
        <v>264</v>
      </c>
      <c r="AD95" s="830" t="s">
        <v>483</v>
      </c>
      <c r="AE95" s="830">
        <v>2</v>
      </c>
      <c r="AF95" s="803">
        <v>1127</v>
      </c>
    </row>
    <row r="96" spans="1:32" ht="14.25">
      <c r="A96" s="154">
        <v>1128</v>
      </c>
      <c r="B96" s="992"/>
      <c r="C96" s="992" t="s">
        <v>1324</v>
      </c>
      <c r="D96" s="503">
        <v>10</v>
      </c>
      <c r="E96" s="504">
        <v>15500</v>
      </c>
      <c r="F96" s="612">
        <v>21</v>
      </c>
      <c r="G96" s="1045"/>
      <c r="H96" s="506">
        <v>19</v>
      </c>
      <c r="I96" s="506">
        <v>25</v>
      </c>
      <c r="J96" s="764">
        <v>120</v>
      </c>
      <c r="K96" s="145">
        <v>60</v>
      </c>
      <c r="L96" s="492">
        <v>12</v>
      </c>
      <c r="M96" s="780">
        <v>4000</v>
      </c>
      <c r="N96" s="500">
        <v>0.25</v>
      </c>
      <c r="O96" s="788">
        <v>0.85</v>
      </c>
      <c r="P96" s="492">
        <v>9</v>
      </c>
      <c r="Q96" s="609">
        <v>0.5</v>
      </c>
      <c r="R96" s="610">
        <v>1827</v>
      </c>
      <c r="S96" s="610">
        <v>255</v>
      </c>
      <c r="T96" s="1277">
        <v>1388</v>
      </c>
      <c r="U96" s="620">
        <v>53.35</v>
      </c>
      <c r="V96" s="506">
        <v>3.2937499999999997</v>
      </c>
      <c r="W96" s="506">
        <v>4.35</v>
      </c>
      <c r="X96" s="620">
        <v>14</v>
      </c>
      <c r="Y96" s="823">
        <v>7.643749999999999</v>
      </c>
      <c r="Z96" s="831">
        <v>21.131458333333335</v>
      </c>
      <c r="AA96" s="832"/>
      <c r="AB96" s="826"/>
      <c r="AC96" s="939">
        <v>31</v>
      </c>
      <c r="AD96" s="826" t="s">
        <v>483</v>
      </c>
      <c r="AE96" s="826">
        <v>2</v>
      </c>
      <c r="AF96" s="804">
        <v>1128</v>
      </c>
    </row>
    <row r="97" spans="1:32" ht="28.5">
      <c r="A97" s="990">
        <v>1129</v>
      </c>
      <c r="B97" s="991"/>
      <c r="C97" s="991" t="s">
        <v>977</v>
      </c>
      <c r="D97" s="1027">
        <v>12</v>
      </c>
      <c r="E97" s="1028">
        <v>8500</v>
      </c>
      <c r="F97" s="1035">
        <v>16</v>
      </c>
      <c r="G97" s="1046"/>
      <c r="H97" s="613">
        <v>14</v>
      </c>
      <c r="I97" s="613">
        <v>18</v>
      </c>
      <c r="J97" s="1031">
        <v>150</v>
      </c>
      <c r="K97" s="1032">
        <v>60</v>
      </c>
      <c r="L97" s="1251">
        <v>12</v>
      </c>
      <c r="M97" s="1232">
        <v>4000</v>
      </c>
      <c r="N97" s="1264">
        <v>0.25</v>
      </c>
      <c r="O97" s="815">
        <v>1.65</v>
      </c>
      <c r="P97" s="812">
        <v>10</v>
      </c>
      <c r="Q97" s="507">
        <v>0.25</v>
      </c>
      <c r="R97" s="201">
        <v>2871</v>
      </c>
      <c r="S97" s="201">
        <v>300</v>
      </c>
      <c r="T97" s="1278">
        <v>827</v>
      </c>
      <c r="U97" s="511">
        <v>59.03636363636364</v>
      </c>
      <c r="V97" s="613">
        <v>3.5062499999999996</v>
      </c>
      <c r="W97" s="613">
        <v>5.22</v>
      </c>
      <c r="X97" s="511">
        <v>7</v>
      </c>
      <c r="Y97" s="827">
        <v>8.72625</v>
      </c>
      <c r="Z97" s="828">
        <v>15.663541666666669</v>
      </c>
      <c r="AA97" s="829"/>
      <c r="AB97" s="830"/>
      <c r="AC97" s="940">
        <v>17</v>
      </c>
      <c r="AD97" s="830" t="s">
        <v>483</v>
      </c>
      <c r="AE97" s="830">
        <v>2</v>
      </c>
      <c r="AF97" s="803">
        <v>1129</v>
      </c>
    </row>
    <row r="98" spans="1:32" ht="14.25">
      <c r="A98" s="154"/>
      <c r="B98" s="992"/>
      <c r="C98" s="992"/>
      <c r="D98" s="492"/>
      <c r="E98" s="504"/>
      <c r="F98" s="493"/>
      <c r="G98" s="1033"/>
      <c r="H98" s="494"/>
      <c r="I98" s="494"/>
      <c r="L98" s="492"/>
      <c r="N98" s="500" t="s">
        <v>413</v>
      </c>
      <c r="O98" s="788" t="s">
        <v>413</v>
      </c>
      <c r="P98" s="492"/>
      <c r="Q98" s="609">
        <v>0.25</v>
      </c>
      <c r="R98" s="610">
        <v>3393</v>
      </c>
      <c r="S98" s="610">
        <v>375</v>
      </c>
      <c r="T98" s="1277" t="s">
        <v>413</v>
      </c>
      <c r="U98" s="620">
        <v>55.08571428571429</v>
      </c>
      <c r="V98" s="494"/>
      <c r="W98" s="494"/>
      <c r="X98" s="620">
        <v>7</v>
      </c>
      <c r="Y98" s="823" t="s">
        <v>413</v>
      </c>
      <c r="Z98" s="850"/>
      <c r="AA98" s="839"/>
      <c r="AB98" s="826"/>
      <c r="AC98" s="939" t="s">
        <v>413</v>
      </c>
      <c r="AD98" s="826" t="s">
        <v>413</v>
      </c>
      <c r="AE98" s="541"/>
      <c r="AF98" s="804"/>
    </row>
    <row r="99" spans="1:32" ht="14.25">
      <c r="A99" s="987">
        <v>1140</v>
      </c>
      <c r="B99" s="988"/>
      <c r="C99" s="989" t="s">
        <v>502</v>
      </c>
      <c r="D99" s="1021"/>
      <c r="E99" s="1022"/>
      <c r="F99" s="1023"/>
      <c r="G99" s="1024"/>
      <c r="H99" s="1025"/>
      <c r="I99" s="1025"/>
      <c r="J99" s="1026"/>
      <c r="K99" s="1026"/>
      <c r="L99" s="1021"/>
      <c r="M99" s="1026"/>
      <c r="N99" s="1263" t="s">
        <v>413</v>
      </c>
      <c r="O99" s="816" t="s">
        <v>413</v>
      </c>
      <c r="P99" s="809"/>
      <c r="Q99" s="507">
        <v>0.05</v>
      </c>
      <c r="R99" s="201">
        <v>626.4</v>
      </c>
      <c r="S99" s="201">
        <v>135</v>
      </c>
      <c r="T99" s="1276" t="s">
        <v>413</v>
      </c>
      <c r="U99" s="506">
        <v>7.858</v>
      </c>
      <c r="V99" s="1025"/>
      <c r="W99" s="1025"/>
      <c r="X99" s="506">
        <v>1.4000000000000001</v>
      </c>
      <c r="Y99" s="833" t="s">
        <v>413</v>
      </c>
      <c r="Z99" s="820"/>
      <c r="AA99" s="821"/>
      <c r="AB99" s="822"/>
      <c r="AC99" s="938" t="s">
        <v>413</v>
      </c>
      <c r="AD99" s="822" t="s">
        <v>413</v>
      </c>
      <c r="AE99" s="822"/>
      <c r="AF99" s="801">
        <v>1140</v>
      </c>
    </row>
    <row r="100" spans="1:32" ht="14.25">
      <c r="A100" s="496"/>
      <c r="B100" s="761"/>
      <c r="C100" s="496"/>
      <c r="D100" s="499"/>
      <c r="E100" s="504"/>
      <c r="F100" s="496"/>
      <c r="G100" s="496"/>
      <c r="H100" s="495"/>
      <c r="I100" s="495"/>
      <c r="J100" s="499"/>
      <c r="K100" s="495"/>
      <c r="L100" s="496"/>
      <c r="M100" s="499"/>
      <c r="N100" s="500" t="s">
        <v>413</v>
      </c>
      <c r="O100" s="788" t="s">
        <v>413</v>
      </c>
      <c r="P100" s="810"/>
      <c r="Q100" s="609">
        <v>0.05</v>
      </c>
      <c r="R100" s="610">
        <v>704.7</v>
      </c>
      <c r="S100" s="610">
        <v>180</v>
      </c>
      <c r="T100" s="1277" t="s">
        <v>413</v>
      </c>
      <c r="U100" s="608">
        <v>7.5726666666666675</v>
      </c>
      <c r="V100" s="496"/>
      <c r="W100" s="496"/>
      <c r="X100" s="608">
        <v>1.4000000000000001</v>
      </c>
      <c r="Y100" s="823" t="s">
        <v>413</v>
      </c>
      <c r="Z100" s="802"/>
      <c r="AA100" s="802"/>
      <c r="AB100" s="802"/>
      <c r="AC100" s="939" t="s">
        <v>413</v>
      </c>
      <c r="AD100" s="826" t="s">
        <v>413</v>
      </c>
      <c r="AE100" s="802"/>
      <c r="AF100" s="802"/>
    </row>
    <row r="101" spans="1:32" ht="14.25">
      <c r="A101" s="990">
        <v>1141</v>
      </c>
      <c r="B101" s="991" t="s">
        <v>1501</v>
      </c>
      <c r="C101" s="991" t="s">
        <v>503</v>
      </c>
      <c r="D101" s="1027">
        <v>2</v>
      </c>
      <c r="E101" s="1028">
        <v>900</v>
      </c>
      <c r="F101" s="1035">
        <v>12</v>
      </c>
      <c r="G101" s="1047">
        <v>15.2</v>
      </c>
      <c r="H101" s="613">
        <v>12</v>
      </c>
      <c r="I101" s="613">
        <v>13</v>
      </c>
      <c r="J101" s="1031">
        <v>50</v>
      </c>
      <c r="K101" s="1032">
        <v>80</v>
      </c>
      <c r="L101" s="1251">
        <v>10</v>
      </c>
      <c r="M101" s="1232">
        <v>1500</v>
      </c>
      <c r="N101" s="1264">
        <v>0</v>
      </c>
      <c r="O101" s="815">
        <v>5.65</v>
      </c>
      <c r="P101" s="812">
        <v>1</v>
      </c>
      <c r="Q101" s="618">
        <v>0.05</v>
      </c>
      <c r="R101" s="619">
        <v>974</v>
      </c>
      <c r="S101" s="619">
        <v>270</v>
      </c>
      <c r="T101" s="1278">
        <v>111.3</v>
      </c>
      <c r="U101" s="617">
        <v>7.495</v>
      </c>
      <c r="V101" s="613">
        <v>5.246</v>
      </c>
      <c r="W101" s="613">
        <v>3.6159999999999997</v>
      </c>
      <c r="X101" s="617">
        <v>1.4000000000000001</v>
      </c>
      <c r="Y101" s="827">
        <v>8.862</v>
      </c>
      <c r="Z101" s="828">
        <v>12.196800000000001</v>
      </c>
      <c r="AA101" s="837">
        <v>15.246</v>
      </c>
      <c r="AB101" s="851"/>
      <c r="AC101" s="940">
        <v>1.8</v>
      </c>
      <c r="AD101" s="830" t="s">
        <v>483</v>
      </c>
      <c r="AE101" s="830">
        <v>3</v>
      </c>
      <c r="AF101" s="803">
        <v>1141</v>
      </c>
    </row>
    <row r="102" spans="1:32" ht="14.25">
      <c r="A102" s="154">
        <v>1142</v>
      </c>
      <c r="B102" s="992" t="s">
        <v>1501</v>
      </c>
      <c r="C102" s="992" t="s">
        <v>504</v>
      </c>
      <c r="D102" s="503">
        <v>4</v>
      </c>
      <c r="E102" s="504">
        <v>1700</v>
      </c>
      <c r="F102" s="612">
        <v>19.5</v>
      </c>
      <c r="G102" s="1048">
        <v>12.2</v>
      </c>
      <c r="H102" s="506">
        <v>19</v>
      </c>
      <c r="I102" s="506">
        <v>21</v>
      </c>
      <c r="J102" s="764">
        <v>60</v>
      </c>
      <c r="K102" s="145">
        <v>80</v>
      </c>
      <c r="L102" s="492">
        <v>10</v>
      </c>
      <c r="M102" s="780">
        <v>1500</v>
      </c>
      <c r="N102" s="500">
        <v>0</v>
      </c>
      <c r="O102" s="788">
        <v>3.45</v>
      </c>
      <c r="P102" s="492">
        <v>1</v>
      </c>
      <c r="Q102" s="609">
        <v>0.05</v>
      </c>
      <c r="R102" s="610">
        <v>1412.3</v>
      </c>
      <c r="S102" s="610">
        <v>270</v>
      </c>
      <c r="T102" s="1277">
        <v>204.9</v>
      </c>
      <c r="U102" s="608">
        <v>7.7852</v>
      </c>
      <c r="V102" s="506">
        <v>7.042</v>
      </c>
      <c r="W102" s="506">
        <v>7.231999999999999</v>
      </c>
      <c r="X102" s="608">
        <v>1.4000000000000001</v>
      </c>
      <c r="Y102" s="823">
        <v>14.274</v>
      </c>
      <c r="Z102" s="831">
        <v>19.457900000000002</v>
      </c>
      <c r="AA102" s="836">
        <v>12.1611875</v>
      </c>
      <c r="AB102" s="802"/>
      <c r="AC102" s="939">
        <v>3.4</v>
      </c>
      <c r="AD102" s="826" t="s">
        <v>483</v>
      </c>
      <c r="AE102" s="826">
        <v>3</v>
      </c>
      <c r="AF102" s="804">
        <v>1142</v>
      </c>
    </row>
    <row r="103" spans="1:32" ht="14.25">
      <c r="A103" s="990">
        <v>1143</v>
      </c>
      <c r="B103" s="991" t="s">
        <v>1501</v>
      </c>
      <c r="C103" s="991" t="s">
        <v>505</v>
      </c>
      <c r="D103" s="1027">
        <v>5</v>
      </c>
      <c r="E103" s="1028">
        <v>2000</v>
      </c>
      <c r="F103" s="1035">
        <v>22</v>
      </c>
      <c r="G103" s="1047">
        <v>11.1</v>
      </c>
      <c r="H103" s="613">
        <v>22</v>
      </c>
      <c r="I103" s="613">
        <v>24</v>
      </c>
      <c r="J103" s="1031">
        <v>70</v>
      </c>
      <c r="K103" s="1032">
        <v>80</v>
      </c>
      <c r="L103" s="1251">
        <v>10</v>
      </c>
      <c r="M103" s="1232">
        <v>1500</v>
      </c>
      <c r="N103" s="1264">
        <v>0</v>
      </c>
      <c r="O103" s="815">
        <v>3.1</v>
      </c>
      <c r="P103" s="812">
        <v>1</v>
      </c>
      <c r="Q103" s="507">
        <v>0.05</v>
      </c>
      <c r="R103" s="201">
        <v>643.8</v>
      </c>
      <c r="S103" s="201">
        <v>135</v>
      </c>
      <c r="T103" s="1278">
        <v>240</v>
      </c>
      <c r="U103" s="506">
        <v>6.696666666666666</v>
      </c>
      <c r="V103" s="613">
        <v>7.787333333333333</v>
      </c>
      <c r="W103" s="613">
        <v>9.04</v>
      </c>
      <c r="X103" s="506">
        <v>1.4000000000000001</v>
      </c>
      <c r="Y103" s="827">
        <v>16.827333333333332</v>
      </c>
      <c r="Z103" s="828">
        <v>22.281495238095236</v>
      </c>
      <c r="AA103" s="837">
        <v>11.140747619047618</v>
      </c>
      <c r="AB103" s="851"/>
      <c r="AC103" s="940">
        <v>4</v>
      </c>
      <c r="AD103" s="830" t="s">
        <v>483</v>
      </c>
      <c r="AE103" s="830">
        <v>3</v>
      </c>
      <c r="AF103" s="803">
        <v>1143</v>
      </c>
    </row>
    <row r="104" spans="1:32" ht="14.25">
      <c r="A104" s="154">
        <v>1144</v>
      </c>
      <c r="B104" s="761"/>
      <c r="C104" s="992" t="s">
        <v>1325</v>
      </c>
      <c r="D104" s="525">
        <v>2</v>
      </c>
      <c r="E104" s="504">
        <v>2300</v>
      </c>
      <c r="F104" s="612">
        <v>20.5</v>
      </c>
      <c r="G104" s="1048">
        <v>12.8</v>
      </c>
      <c r="H104" s="506">
        <v>19</v>
      </c>
      <c r="I104" s="506">
        <v>22</v>
      </c>
      <c r="J104" s="764">
        <v>60</v>
      </c>
      <c r="K104" s="145">
        <v>80</v>
      </c>
      <c r="L104" s="492">
        <v>10</v>
      </c>
      <c r="M104" s="780">
        <v>1500</v>
      </c>
      <c r="N104" s="500">
        <v>0</v>
      </c>
      <c r="O104" s="788">
        <v>2.4</v>
      </c>
      <c r="P104" s="492">
        <v>1</v>
      </c>
      <c r="Q104" s="609">
        <v>0.05</v>
      </c>
      <c r="R104" s="610">
        <v>635.1</v>
      </c>
      <c r="S104" s="610">
        <v>150</v>
      </c>
      <c r="T104" s="1277">
        <v>275.1</v>
      </c>
      <c r="U104" s="608">
        <v>5.398000000000001</v>
      </c>
      <c r="V104" s="506">
        <v>6.812</v>
      </c>
      <c r="W104" s="506">
        <v>7.231999999999999</v>
      </c>
      <c r="X104" s="608">
        <v>1.4000000000000001</v>
      </c>
      <c r="Y104" s="823">
        <v>14.044</v>
      </c>
      <c r="Z104" s="831">
        <v>20.491900000000005</v>
      </c>
      <c r="AA104" s="836">
        <v>12.807437500000002</v>
      </c>
      <c r="AB104" s="849">
        <v>4</v>
      </c>
      <c r="AC104" s="939">
        <v>4.6000000000000005</v>
      </c>
      <c r="AD104" s="826" t="s">
        <v>483</v>
      </c>
      <c r="AE104" s="826">
        <v>3</v>
      </c>
      <c r="AF104" s="804">
        <v>1144</v>
      </c>
    </row>
    <row r="105" spans="1:32" ht="14.25">
      <c r="A105" s="990">
        <v>1145</v>
      </c>
      <c r="B105" s="996"/>
      <c r="C105" s="991" t="s">
        <v>506</v>
      </c>
      <c r="D105" s="1027">
        <v>2</v>
      </c>
      <c r="E105" s="1028">
        <v>1400</v>
      </c>
      <c r="F105" s="1035">
        <v>12.5</v>
      </c>
      <c r="G105" s="1047">
        <v>17.6</v>
      </c>
      <c r="H105" s="613">
        <v>12</v>
      </c>
      <c r="I105" s="613">
        <v>13</v>
      </c>
      <c r="J105" s="1031">
        <v>60</v>
      </c>
      <c r="K105" s="1032">
        <v>70</v>
      </c>
      <c r="L105" s="1251">
        <v>10</v>
      </c>
      <c r="M105" s="1232">
        <v>1000</v>
      </c>
      <c r="N105" s="1264">
        <v>0</v>
      </c>
      <c r="O105" s="815">
        <v>3.5</v>
      </c>
      <c r="P105" s="812">
        <v>4</v>
      </c>
      <c r="Q105" s="492"/>
      <c r="R105" s="201" t="s">
        <v>413</v>
      </c>
      <c r="T105" s="1278">
        <v>187.8</v>
      </c>
      <c r="U105" s="494"/>
      <c r="V105" s="613">
        <v>4.8999999999999995</v>
      </c>
      <c r="W105" s="613">
        <v>3.164</v>
      </c>
      <c r="X105" s="494"/>
      <c r="Y105" s="827">
        <v>8.064</v>
      </c>
      <c r="Z105" s="828">
        <v>12.313400000000001</v>
      </c>
      <c r="AA105" s="837">
        <v>17.59057142857143</v>
      </c>
      <c r="AB105" s="851"/>
      <c r="AC105" s="940">
        <v>2.8000000000000003</v>
      </c>
      <c r="AD105" s="830" t="s">
        <v>483</v>
      </c>
      <c r="AE105" s="830">
        <v>3</v>
      </c>
      <c r="AF105" s="803">
        <v>1145</v>
      </c>
    </row>
    <row r="106" spans="1:32" ht="28.5">
      <c r="A106" s="154">
        <v>1146</v>
      </c>
      <c r="B106" s="761"/>
      <c r="C106" s="992" t="s">
        <v>1326</v>
      </c>
      <c r="D106" s="503">
        <v>3</v>
      </c>
      <c r="E106" s="504">
        <v>1900</v>
      </c>
      <c r="F106" s="621">
        <v>14.5</v>
      </c>
      <c r="G106" s="1048">
        <v>10.8</v>
      </c>
      <c r="H106" s="506">
        <v>14</v>
      </c>
      <c r="I106" s="506">
        <v>15</v>
      </c>
      <c r="J106" s="764">
        <v>100</v>
      </c>
      <c r="K106" s="145">
        <v>90</v>
      </c>
      <c r="L106" s="492">
        <v>10</v>
      </c>
      <c r="M106" s="780">
        <v>1500</v>
      </c>
      <c r="N106" s="500">
        <v>0</v>
      </c>
      <c r="O106" s="788">
        <v>3.7</v>
      </c>
      <c r="P106" s="492">
        <v>4</v>
      </c>
      <c r="Q106" s="603"/>
      <c r="R106" s="605" t="s">
        <v>413</v>
      </c>
      <c r="S106" s="606"/>
      <c r="T106" s="1277">
        <v>246.3</v>
      </c>
      <c r="U106" s="604"/>
      <c r="V106" s="506">
        <v>4.6866666666666665</v>
      </c>
      <c r="W106" s="506">
        <v>6.101999999999999</v>
      </c>
      <c r="X106" s="604"/>
      <c r="Y106" s="823">
        <v>10.788666666666666</v>
      </c>
      <c r="Z106" s="831">
        <v>14.576833333333333</v>
      </c>
      <c r="AA106" s="836">
        <v>10.797654320987654</v>
      </c>
      <c r="AB106" s="802"/>
      <c r="AC106" s="939">
        <v>3.8000000000000003</v>
      </c>
      <c r="AD106" s="826" t="s">
        <v>483</v>
      </c>
      <c r="AE106" s="826">
        <v>3</v>
      </c>
      <c r="AF106" s="804">
        <v>1146</v>
      </c>
    </row>
    <row r="107" spans="1:32" ht="14.25">
      <c r="A107" s="990">
        <v>1147</v>
      </c>
      <c r="B107" s="996"/>
      <c r="C107" s="991" t="s">
        <v>1327</v>
      </c>
      <c r="D107" s="1027">
        <v>2</v>
      </c>
      <c r="E107" s="1028">
        <v>1100</v>
      </c>
      <c r="F107" s="1049">
        <v>15</v>
      </c>
      <c r="G107" s="1050"/>
      <c r="H107" s="613">
        <v>14</v>
      </c>
      <c r="I107" s="613">
        <v>16</v>
      </c>
      <c r="J107" s="1031">
        <v>50</v>
      </c>
      <c r="K107" s="1032">
        <v>90</v>
      </c>
      <c r="L107" s="1251">
        <v>10</v>
      </c>
      <c r="M107" s="1031">
        <v>800</v>
      </c>
      <c r="N107" s="1264">
        <v>0</v>
      </c>
      <c r="O107" s="815">
        <v>4.85</v>
      </c>
      <c r="P107" s="812">
        <v>3</v>
      </c>
      <c r="Q107" s="495"/>
      <c r="R107" s="201" t="s">
        <v>413</v>
      </c>
      <c r="S107" s="499"/>
      <c r="T107" s="1278">
        <v>146.7</v>
      </c>
      <c r="U107" s="495"/>
      <c r="V107" s="613">
        <v>6.668749999999999</v>
      </c>
      <c r="W107" s="613">
        <v>4.068</v>
      </c>
      <c r="X107" s="495"/>
      <c r="Y107" s="827">
        <v>10.736749999999999</v>
      </c>
      <c r="Z107" s="828">
        <v>15.037825</v>
      </c>
      <c r="AA107" s="829"/>
      <c r="AB107" s="851"/>
      <c r="AC107" s="940">
        <v>2.2</v>
      </c>
      <c r="AD107" s="830" t="s">
        <v>483</v>
      </c>
      <c r="AE107" s="830">
        <v>3</v>
      </c>
      <c r="AF107" s="803">
        <v>1147</v>
      </c>
    </row>
    <row r="108" spans="1:32" ht="14.25">
      <c r="A108" s="154">
        <v>1148</v>
      </c>
      <c r="B108" s="761"/>
      <c r="C108" s="992" t="s">
        <v>507</v>
      </c>
      <c r="D108" s="503">
        <v>3</v>
      </c>
      <c r="E108" s="504">
        <v>1050</v>
      </c>
      <c r="F108" s="621">
        <v>14</v>
      </c>
      <c r="G108" s="496"/>
      <c r="H108" s="506">
        <v>13</v>
      </c>
      <c r="I108" s="506">
        <v>15</v>
      </c>
      <c r="J108" s="764">
        <v>40</v>
      </c>
      <c r="K108" s="145">
        <v>90</v>
      </c>
      <c r="L108" s="492">
        <v>12</v>
      </c>
      <c r="M108" s="764">
        <v>800</v>
      </c>
      <c r="N108" s="500">
        <v>0</v>
      </c>
      <c r="O108" s="788">
        <v>2.9</v>
      </c>
      <c r="P108" s="492">
        <v>2</v>
      </c>
      <c r="Q108" s="609">
        <v>0.1</v>
      </c>
      <c r="R108" s="610">
        <v>127.05</v>
      </c>
      <c r="S108" s="610">
        <v>7</v>
      </c>
      <c r="T108" s="1277">
        <v>117.35</v>
      </c>
      <c r="U108" s="608">
        <v>2.7230000000000003</v>
      </c>
      <c r="V108" s="506">
        <v>3.80625</v>
      </c>
      <c r="W108" s="506">
        <v>6.101999999999999</v>
      </c>
      <c r="X108" s="608">
        <v>2.8000000000000003</v>
      </c>
      <c r="Y108" s="823">
        <v>9.908249999999999</v>
      </c>
      <c r="Z108" s="831">
        <v>14.126199999999999</v>
      </c>
      <c r="AA108" s="832"/>
      <c r="AB108" s="802"/>
      <c r="AC108" s="939">
        <v>2.1</v>
      </c>
      <c r="AD108" s="826" t="s">
        <v>483</v>
      </c>
      <c r="AE108" s="826">
        <v>3</v>
      </c>
      <c r="AF108" s="804">
        <v>1148</v>
      </c>
    </row>
    <row r="109" spans="1:32" ht="14.25">
      <c r="A109" s="990">
        <v>1149</v>
      </c>
      <c r="B109" s="996"/>
      <c r="C109" s="991" t="s">
        <v>978</v>
      </c>
      <c r="D109" s="1027">
        <v>4</v>
      </c>
      <c r="E109" s="1028">
        <v>2700</v>
      </c>
      <c r="F109" s="1049">
        <v>15.5</v>
      </c>
      <c r="G109" s="1047">
        <v>8.5</v>
      </c>
      <c r="H109" s="613">
        <v>14.7</v>
      </c>
      <c r="I109" s="613">
        <v>16.2</v>
      </c>
      <c r="J109" s="1031">
        <v>175</v>
      </c>
      <c r="K109" s="1032">
        <v>90</v>
      </c>
      <c r="L109" s="1251">
        <v>8</v>
      </c>
      <c r="M109" s="1232">
        <v>4000</v>
      </c>
      <c r="N109" s="1264">
        <v>0</v>
      </c>
      <c r="O109" s="815">
        <v>4.9</v>
      </c>
      <c r="P109" s="812">
        <v>7</v>
      </c>
      <c r="Q109" s="618">
        <v>0.1</v>
      </c>
      <c r="R109" s="619">
        <v>211.75</v>
      </c>
      <c r="S109" s="619">
        <v>7</v>
      </c>
      <c r="T109" s="1278">
        <v>425.4</v>
      </c>
      <c r="U109" s="617">
        <v>3.7041666666666666</v>
      </c>
      <c r="V109" s="613">
        <v>3.3075000000000006</v>
      </c>
      <c r="W109" s="613">
        <v>8.136</v>
      </c>
      <c r="X109" s="617">
        <v>2.8000000000000003</v>
      </c>
      <c r="Y109" s="827">
        <v>11.4435</v>
      </c>
      <c r="Z109" s="828">
        <v>15.261792857142858</v>
      </c>
      <c r="AA109" s="837">
        <v>8.47877380952381</v>
      </c>
      <c r="AB109" s="851"/>
      <c r="AC109" s="940">
        <v>5.4</v>
      </c>
      <c r="AD109" s="830" t="s">
        <v>483</v>
      </c>
      <c r="AE109" s="830">
        <v>3</v>
      </c>
      <c r="AF109" s="803">
        <v>1149</v>
      </c>
    </row>
    <row r="110" spans="1:32" ht="14.25">
      <c r="A110" s="496"/>
      <c r="B110" s="761"/>
      <c r="C110" s="496"/>
      <c r="D110" s="503"/>
      <c r="E110" s="504"/>
      <c r="F110" s="505"/>
      <c r="G110" s="496"/>
      <c r="H110" s="506"/>
      <c r="I110" s="506"/>
      <c r="J110" s="764"/>
      <c r="K110" s="495"/>
      <c r="L110" s="496"/>
      <c r="M110" s="780"/>
      <c r="N110" s="500" t="s">
        <v>413</v>
      </c>
      <c r="O110" s="788" t="s">
        <v>413</v>
      </c>
      <c r="P110" s="810"/>
      <c r="Q110" s="609">
        <v>0.1</v>
      </c>
      <c r="R110" s="610">
        <v>254.1</v>
      </c>
      <c r="S110" s="610">
        <v>7</v>
      </c>
      <c r="T110" s="1277" t="s">
        <v>413</v>
      </c>
      <c r="U110" s="608">
        <v>3.79</v>
      </c>
      <c r="V110" s="506"/>
      <c r="W110" s="506"/>
      <c r="X110" s="608">
        <v>2.8000000000000003</v>
      </c>
      <c r="Y110" s="823" t="s">
        <v>413</v>
      </c>
      <c r="Z110" s="831"/>
      <c r="AA110" s="832"/>
      <c r="AB110" s="802"/>
      <c r="AC110" s="939" t="s">
        <v>413</v>
      </c>
      <c r="AD110" s="826" t="s">
        <v>413</v>
      </c>
      <c r="AE110" s="826"/>
      <c r="AF110" s="802"/>
    </row>
    <row r="111" spans="1:32" ht="14.25">
      <c r="A111" s="987">
        <v>1160</v>
      </c>
      <c r="B111" s="988"/>
      <c r="C111" s="989" t="s">
        <v>508</v>
      </c>
      <c r="D111" s="1021"/>
      <c r="E111" s="1022"/>
      <c r="F111" s="1023"/>
      <c r="G111" s="1024"/>
      <c r="H111" s="1025"/>
      <c r="I111" s="1025"/>
      <c r="J111" s="1026"/>
      <c r="K111" s="1026"/>
      <c r="L111" s="1021"/>
      <c r="M111" s="1026"/>
      <c r="N111" s="1263" t="s">
        <v>413</v>
      </c>
      <c r="O111" s="816" t="s">
        <v>413</v>
      </c>
      <c r="P111" s="809"/>
      <c r="Q111" s="618">
        <v>0.1</v>
      </c>
      <c r="R111" s="619">
        <v>290.4</v>
      </c>
      <c r="S111" s="619">
        <v>7</v>
      </c>
      <c r="T111" s="1276" t="s">
        <v>413</v>
      </c>
      <c r="U111" s="617">
        <v>5.036666666666666</v>
      </c>
      <c r="V111" s="1025"/>
      <c r="W111" s="1025"/>
      <c r="X111" s="617">
        <v>2.8000000000000003</v>
      </c>
      <c r="Y111" s="833" t="s">
        <v>413</v>
      </c>
      <c r="Z111" s="820"/>
      <c r="AA111" s="821"/>
      <c r="AB111" s="822"/>
      <c r="AC111" s="938" t="s">
        <v>413</v>
      </c>
      <c r="AD111" s="822" t="s">
        <v>413</v>
      </c>
      <c r="AE111" s="822"/>
      <c r="AF111" s="801">
        <v>1160</v>
      </c>
    </row>
    <row r="112" spans="1:32" ht="14.25">
      <c r="A112" s="496"/>
      <c r="B112" s="761"/>
      <c r="C112" s="496"/>
      <c r="D112" s="508"/>
      <c r="E112" s="504"/>
      <c r="F112" s="509"/>
      <c r="G112" s="496"/>
      <c r="H112" s="506"/>
      <c r="I112" s="506"/>
      <c r="J112" s="764"/>
      <c r="K112" s="495"/>
      <c r="L112" s="496"/>
      <c r="M112" s="764"/>
      <c r="N112" s="500" t="s">
        <v>413</v>
      </c>
      <c r="O112" s="788" t="s">
        <v>413</v>
      </c>
      <c r="P112" s="810"/>
      <c r="Q112" s="609">
        <v>0.1</v>
      </c>
      <c r="R112" s="610">
        <v>169.4</v>
      </c>
      <c r="S112" s="610">
        <v>28</v>
      </c>
      <c r="T112" s="1277" t="s">
        <v>413</v>
      </c>
      <c r="U112" s="608">
        <v>3.336666666666667</v>
      </c>
      <c r="V112" s="506"/>
      <c r="W112" s="506"/>
      <c r="X112" s="608">
        <v>2.8000000000000003</v>
      </c>
      <c r="Y112" s="823" t="s">
        <v>413</v>
      </c>
      <c r="Z112" s="831"/>
      <c r="AA112" s="832"/>
      <c r="AB112" s="802"/>
      <c r="AC112" s="939" t="s">
        <v>413</v>
      </c>
      <c r="AD112" s="826" t="s">
        <v>413</v>
      </c>
      <c r="AE112" s="826"/>
      <c r="AF112" s="802"/>
    </row>
    <row r="113" spans="1:32" ht="14.25">
      <c r="A113" s="990">
        <v>1161</v>
      </c>
      <c r="B113" s="991"/>
      <c r="C113" s="991" t="s">
        <v>979</v>
      </c>
      <c r="D113" s="1051"/>
      <c r="E113" s="1028">
        <v>16000</v>
      </c>
      <c r="F113" s="1035">
        <v>24</v>
      </c>
      <c r="G113" s="1052"/>
      <c r="H113" s="613">
        <v>21</v>
      </c>
      <c r="I113" s="613">
        <v>29</v>
      </c>
      <c r="J113" s="1031">
        <v>150</v>
      </c>
      <c r="K113" s="1032">
        <v>60</v>
      </c>
      <c r="L113" s="1251">
        <v>12</v>
      </c>
      <c r="M113" s="1232">
        <v>4000</v>
      </c>
      <c r="N113" s="1264">
        <v>0.25</v>
      </c>
      <c r="O113" s="815">
        <v>0.85</v>
      </c>
      <c r="P113" s="812">
        <v>15</v>
      </c>
      <c r="Q113" s="618">
        <v>0.1</v>
      </c>
      <c r="R113" s="619">
        <v>242</v>
      </c>
      <c r="S113" s="619">
        <v>28</v>
      </c>
      <c r="T113" s="1278">
        <v>2097</v>
      </c>
      <c r="U113" s="617">
        <v>2.74</v>
      </c>
      <c r="V113" s="613">
        <v>3.4</v>
      </c>
      <c r="W113" s="613">
        <v>4.35</v>
      </c>
      <c r="X113" s="617">
        <v>2.8000000000000003</v>
      </c>
      <c r="Y113" s="827">
        <v>7.75</v>
      </c>
      <c r="Z113" s="828">
        <v>23.903000000000002</v>
      </c>
      <c r="AA113" s="852"/>
      <c r="AB113" s="847">
        <v>10</v>
      </c>
      <c r="AC113" s="940">
        <v>622</v>
      </c>
      <c r="AD113" s="830" t="s">
        <v>483</v>
      </c>
      <c r="AE113" s="830">
        <v>2</v>
      </c>
      <c r="AF113" s="803">
        <v>1161</v>
      </c>
    </row>
    <row r="114" spans="1:32" ht="14.25">
      <c r="A114" s="154">
        <v>1162</v>
      </c>
      <c r="B114" s="992"/>
      <c r="C114" s="992" t="s">
        <v>980</v>
      </c>
      <c r="D114" s="623"/>
      <c r="E114" s="504">
        <v>24000</v>
      </c>
      <c r="F114" s="612">
        <v>30</v>
      </c>
      <c r="G114" s="1053"/>
      <c r="H114" s="506">
        <v>26</v>
      </c>
      <c r="I114" s="506">
        <v>37</v>
      </c>
      <c r="J114" s="764">
        <v>150</v>
      </c>
      <c r="K114" s="145">
        <v>60</v>
      </c>
      <c r="L114" s="492">
        <v>12</v>
      </c>
      <c r="M114" s="780">
        <v>4000</v>
      </c>
      <c r="N114" s="500">
        <v>0.25</v>
      </c>
      <c r="O114" s="788">
        <v>0.8</v>
      </c>
      <c r="P114" s="492">
        <v>15</v>
      </c>
      <c r="Q114" s="609">
        <v>0.2</v>
      </c>
      <c r="R114" s="610">
        <v>133.1</v>
      </c>
      <c r="S114" s="610">
        <v>21</v>
      </c>
      <c r="T114" s="1277">
        <v>2753</v>
      </c>
      <c r="U114" s="608">
        <v>3.1259999999999994</v>
      </c>
      <c r="V114" s="506">
        <v>4.800000000000001</v>
      </c>
      <c r="W114" s="506">
        <v>3.915</v>
      </c>
      <c r="X114" s="608">
        <v>5.6000000000000005</v>
      </c>
      <c r="Y114" s="823">
        <v>8.715</v>
      </c>
      <c r="Z114" s="831">
        <v>29.775166666666667</v>
      </c>
      <c r="AA114" s="853"/>
      <c r="AB114" s="849">
        <v>15</v>
      </c>
      <c r="AC114" s="939">
        <v>638</v>
      </c>
      <c r="AD114" s="826" t="s">
        <v>483</v>
      </c>
      <c r="AE114" s="826">
        <v>2</v>
      </c>
      <c r="AF114" s="804">
        <v>1162</v>
      </c>
    </row>
    <row r="115" spans="1:32" ht="28.5">
      <c r="A115" s="990">
        <v>1163</v>
      </c>
      <c r="B115" s="991"/>
      <c r="C115" s="991" t="s">
        <v>1205</v>
      </c>
      <c r="D115" s="1051">
        <v>40</v>
      </c>
      <c r="E115" s="1028">
        <v>42000</v>
      </c>
      <c r="F115" s="1041">
        <v>30</v>
      </c>
      <c r="G115" s="1054">
        <v>0.75</v>
      </c>
      <c r="H115" s="624">
        <v>0.6</v>
      </c>
      <c r="I115" s="624">
        <v>0.9</v>
      </c>
      <c r="J115" s="1055">
        <v>14000</v>
      </c>
      <c r="K115" s="1032">
        <v>25</v>
      </c>
      <c r="L115" s="1251">
        <v>12</v>
      </c>
      <c r="M115" s="1055">
        <v>250000</v>
      </c>
      <c r="N115" s="1264">
        <v>0.1</v>
      </c>
      <c r="O115" s="815">
        <v>0.55</v>
      </c>
      <c r="P115" s="812">
        <v>57</v>
      </c>
      <c r="Q115" s="507">
        <v>0.1</v>
      </c>
      <c r="R115" s="201">
        <v>114.76666666666667</v>
      </c>
      <c r="S115" s="201">
        <v>14</v>
      </c>
      <c r="T115" s="1278">
        <v>6267</v>
      </c>
      <c r="U115" s="506">
        <v>3.274166666666666</v>
      </c>
      <c r="V115" s="624">
        <v>0.09240000000000001</v>
      </c>
      <c r="W115" s="624">
        <v>0.1378125</v>
      </c>
      <c r="X115" s="506">
        <v>2.8000000000000003</v>
      </c>
      <c r="Y115" s="854">
        <v>0.23021250000000001</v>
      </c>
      <c r="Z115" s="828">
        <v>29.825635714285717</v>
      </c>
      <c r="AA115" s="852">
        <v>0.745640892857143</v>
      </c>
      <c r="AB115" s="847">
        <v>125</v>
      </c>
      <c r="AC115" s="940">
        <v>1704</v>
      </c>
      <c r="AD115" s="830" t="s">
        <v>1073</v>
      </c>
      <c r="AE115" s="830">
        <v>1</v>
      </c>
      <c r="AF115" s="803">
        <v>1163</v>
      </c>
    </row>
    <row r="116" spans="1:32" ht="14.25">
      <c r="A116" s="154">
        <v>1164</v>
      </c>
      <c r="B116" s="992"/>
      <c r="C116" s="992" t="s">
        <v>1206</v>
      </c>
      <c r="D116" s="623">
        <v>60</v>
      </c>
      <c r="E116" s="504">
        <v>53000</v>
      </c>
      <c r="F116" s="509">
        <v>53</v>
      </c>
      <c r="G116" s="1056">
        <v>0.89</v>
      </c>
      <c r="H116" s="514">
        <v>0.8</v>
      </c>
      <c r="I116" s="514">
        <v>1.1</v>
      </c>
      <c r="J116" s="767">
        <v>14000</v>
      </c>
      <c r="K116" s="145">
        <v>30</v>
      </c>
      <c r="L116" s="492">
        <v>12</v>
      </c>
      <c r="M116" s="767">
        <v>250000</v>
      </c>
      <c r="N116" s="500">
        <v>0.1</v>
      </c>
      <c r="O116" s="788">
        <v>0.5</v>
      </c>
      <c r="P116" s="492">
        <v>55</v>
      </c>
      <c r="Q116" s="609">
        <v>0.1</v>
      </c>
      <c r="R116" s="610">
        <v>408.8</v>
      </c>
      <c r="S116" s="610">
        <v>49</v>
      </c>
      <c r="T116" s="1277">
        <v>7264</v>
      </c>
      <c r="U116" s="608">
        <v>2.648</v>
      </c>
      <c r="V116" s="514">
        <v>0.106</v>
      </c>
      <c r="W116" s="514">
        <v>0.18522</v>
      </c>
      <c r="X116" s="608">
        <v>2.8000000000000003</v>
      </c>
      <c r="Y116" s="855">
        <v>0.29122</v>
      </c>
      <c r="Z116" s="831">
        <v>53.46509142857144</v>
      </c>
      <c r="AA116" s="853">
        <v>0.8910848571428573</v>
      </c>
      <c r="AB116" s="849">
        <v>140</v>
      </c>
      <c r="AC116" s="939">
        <v>1726</v>
      </c>
      <c r="AD116" s="826" t="s">
        <v>1073</v>
      </c>
      <c r="AE116" s="826">
        <v>1</v>
      </c>
      <c r="AF116" s="804">
        <v>1164</v>
      </c>
    </row>
    <row r="117" spans="1:32" ht="14.25">
      <c r="A117" s="990">
        <v>1165</v>
      </c>
      <c r="B117" s="991"/>
      <c r="C117" s="991" t="s">
        <v>509</v>
      </c>
      <c r="D117" s="1051">
        <v>50</v>
      </c>
      <c r="E117" s="1028">
        <v>65000</v>
      </c>
      <c r="F117" s="1041">
        <v>60</v>
      </c>
      <c r="G117" s="1054">
        <v>1.2</v>
      </c>
      <c r="H117" s="624"/>
      <c r="I117" s="624">
        <v>1.4</v>
      </c>
      <c r="J117" s="1055">
        <v>14000</v>
      </c>
      <c r="K117" s="1032">
        <v>30</v>
      </c>
      <c r="L117" s="1251">
        <v>12</v>
      </c>
      <c r="M117" s="1055">
        <v>200000</v>
      </c>
      <c r="N117" s="1264">
        <v>0.1</v>
      </c>
      <c r="O117" s="815">
        <v>0.65</v>
      </c>
      <c r="P117" s="812">
        <v>81</v>
      </c>
      <c r="Q117" s="507"/>
      <c r="R117" s="201" t="s">
        <v>413</v>
      </c>
      <c r="S117" s="201"/>
      <c r="T117" s="1278">
        <v>8718</v>
      </c>
      <c r="U117" s="506"/>
      <c r="V117" s="624">
        <v>0.21125000000000002</v>
      </c>
      <c r="W117" s="624">
        <v>0.22226400000000002</v>
      </c>
      <c r="X117" s="506"/>
      <c r="Y117" s="854">
        <v>0.43351400000000007</v>
      </c>
      <c r="Z117" s="828">
        <v>58.09255571428572</v>
      </c>
      <c r="AA117" s="852">
        <v>1.1618511142857144</v>
      </c>
      <c r="AB117" s="847">
        <v>84</v>
      </c>
      <c r="AC117" s="940">
        <v>1750</v>
      </c>
      <c r="AD117" s="830" t="s">
        <v>1073</v>
      </c>
      <c r="AE117" s="830">
        <v>1</v>
      </c>
      <c r="AF117" s="803">
        <v>1165</v>
      </c>
    </row>
    <row r="118" spans="1:32" ht="14.25">
      <c r="A118" s="154"/>
      <c r="B118" s="992"/>
      <c r="C118" s="154"/>
      <c r="D118" s="204"/>
      <c r="E118" s="504"/>
      <c r="F118" s="509"/>
      <c r="G118" s="1033"/>
      <c r="H118" s="506"/>
      <c r="I118" s="506"/>
      <c r="J118" s="764"/>
      <c r="L118" s="492"/>
      <c r="M118" s="764"/>
      <c r="N118" s="500" t="s">
        <v>413</v>
      </c>
      <c r="O118" s="788" t="s">
        <v>413</v>
      </c>
      <c r="P118" s="492"/>
      <c r="Q118" s="603"/>
      <c r="R118" s="605" t="s">
        <v>413</v>
      </c>
      <c r="S118" s="606"/>
      <c r="T118" s="1277" t="s">
        <v>413</v>
      </c>
      <c r="U118" s="604"/>
      <c r="V118" s="506"/>
      <c r="W118" s="506"/>
      <c r="X118" s="604"/>
      <c r="Y118" s="823" t="s">
        <v>413</v>
      </c>
      <c r="Z118" s="831"/>
      <c r="AA118" s="839"/>
      <c r="AB118" s="826"/>
      <c r="AC118" s="939" t="s">
        <v>413</v>
      </c>
      <c r="AD118" s="826" t="s">
        <v>413</v>
      </c>
      <c r="AE118" s="826"/>
      <c r="AF118" s="804"/>
    </row>
    <row r="119" spans="1:32" ht="28.5">
      <c r="A119" s="997"/>
      <c r="B119" s="998"/>
      <c r="C119" s="999" t="s">
        <v>510</v>
      </c>
      <c r="D119" s="1057"/>
      <c r="E119" s="1058"/>
      <c r="F119" s="1059"/>
      <c r="G119" s="1060"/>
      <c r="H119" s="1061"/>
      <c r="I119" s="1061"/>
      <c r="J119" s="1062"/>
      <c r="K119" s="1063"/>
      <c r="L119" s="1253"/>
      <c r="M119" s="1062"/>
      <c r="N119" s="1265" t="s">
        <v>413</v>
      </c>
      <c r="O119" s="817" t="s">
        <v>413</v>
      </c>
      <c r="P119" s="813"/>
      <c r="Q119" s="507"/>
      <c r="R119" s="201" t="s">
        <v>413</v>
      </c>
      <c r="S119" s="201"/>
      <c r="T119" s="1280" t="s">
        <v>413</v>
      </c>
      <c r="U119" s="506"/>
      <c r="V119" s="1061"/>
      <c r="W119" s="1061"/>
      <c r="X119" s="506"/>
      <c r="Y119" s="856" t="s">
        <v>413</v>
      </c>
      <c r="Z119" s="857"/>
      <c r="AA119" s="858"/>
      <c r="AB119" s="859"/>
      <c r="AC119" s="942" t="s">
        <v>413</v>
      </c>
      <c r="AD119" s="859" t="s">
        <v>413</v>
      </c>
      <c r="AE119" s="859"/>
      <c r="AF119" s="805"/>
    </row>
    <row r="120" spans="1:32" ht="14.25">
      <c r="A120" s="496"/>
      <c r="B120" s="761"/>
      <c r="C120" s="496"/>
      <c r="D120" s="508"/>
      <c r="E120" s="504"/>
      <c r="F120" s="509"/>
      <c r="G120" s="496"/>
      <c r="H120" s="506"/>
      <c r="I120" s="506"/>
      <c r="J120" s="764"/>
      <c r="K120" s="495"/>
      <c r="L120" s="496"/>
      <c r="M120" s="764"/>
      <c r="N120" s="500" t="s">
        <v>413</v>
      </c>
      <c r="O120" s="788" t="s">
        <v>413</v>
      </c>
      <c r="P120" s="810"/>
      <c r="Q120" s="622">
        <v>0.01</v>
      </c>
      <c r="R120" s="610">
        <v>1261.5</v>
      </c>
      <c r="S120" s="610">
        <v>225</v>
      </c>
      <c r="T120" s="1277" t="s">
        <v>413</v>
      </c>
      <c r="U120" s="608">
        <v>14.036666666666667</v>
      </c>
      <c r="V120" s="506"/>
      <c r="W120" s="506"/>
      <c r="X120" s="608">
        <v>0.28</v>
      </c>
      <c r="Y120" s="823" t="s">
        <v>413</v>
      </c>
      <c r="Z120" s="831"/>
      <c r="AA120" s="832"/>
      <c r="AB120" s="802"/>
      <c r="AC120" s="939" t="s">
        <v>413</v>
      </c>
      <c r="AD120" s="826" t="s">
        <v>413</v>
      </c>
      <c r="AE120" s="826"/>
      <c r="AF120" s="802"/>
    </row>
    <row r="121" spans="1:32" ht="14.25">
      <c r="A121" s="987">
        <v>2010</v>
      </c>
      <c r="B121" s="988"/>
      <c r="C121" s="989" t="s">
        <v>513</v>
      </c>
      <c r="D121" s="1021"/>
      <c r="E121" s="1022"/>
      <c r="F121" s="1023"/>
      <c r="G121" s="1024"/>
      <c r="H121" s="1025"/>
      <c r="I121" s="1025"/>
      <c r="J121" s="1026"/>
      <c r="K121" s="1026"/>
      <c r="L121" s="1021"/>
      <c r="M121" s="1026"/>
      <c r="N121" s="1263" t="s">
        <v>413</v>
      </c>
      <c r="O121" s="816" t="s">
        <v>413</v>
      </c>
      <c r="P121" s="809"/>
      <c r="Q121" s="513">
        <v>0.01</v>
      </c>
      <c r="R121" s="201">
        <v>1957.5</v>
      </c>
      <c r="S121" s="201">
        <v>225</v>
      </c>
      <c r="T121" s="1276" t="s">
        <v>413</v>
      </c>
      <c r="U121" s="506">
        <v>18.783333333333335</v>
      </c>
      <c r="V121" s="1025"/>
      <c r="W121" s="1025"/>
      <c r="X121" s="506">
        <v>0.28</v>
      </c>
      <c r="Y121" s="833" t="s">
        <v>413</v>
      </c>
      <c r="Z121" s="820"/>
      <c r="AA121" s="821"/>
      <c r="AB121" s="822"/>
      <c r="AC121" s="938" t="s">
        <v>413</v>
      </c>
      <c r="AD121" s="822" t="s">
        <v>413</v>
      </c>
      <c r="AE121" s="822"/>
      <c r="AF121" s="801">
        <v>2010</v>
      </c>
    </row>
    <row r="122" spans="1:32" ht="14.25">
      <c r="A122" s="496"/>
      <c r="B122" s="761"/>
      <c r="C122" s="496"/>
      <c r="D122" s="508"/>
      <c r="E122" s="504"/>
      <c r="F122" s="509"/>
      <c r="G122" s="496"/>
      <c r="H122" s="506"/>
      <c r="I122" s="506"/>
      <c r="J122" s="764"/>
      <c r="K122" s="495"/>
      <c r="L122" s="496"/>
      <c r="M122" s="780"/>
      <c r="N122" s="500" t="s">
        <v>413</v>
      </c>
      <c r="O122" s="788" t="s">
        <v>413</v>
      </c>
      <c r="P122" s="810"/>
      <c r="Q122" s="622">
        <v>0.001</v>
      </c>
      <c r="R122" s="610">
        <v>3993.4</v>
      </c>
      <c r="S122" s="610">
        <v>855</v>
      </c>
      <c r="T122" s="1277" t="s">
        <v>413</v>
      </c>
      <c r="U122" s="624">
        <v>0.46788571428571424</v>
      </c>
      <c r="V122" s="506"/>
      <c r="W122" s="506"/>
      <c r="X122" s="624">
        <v>0.028</v>
      </c>
      <c r="Y122" s="823" t="s">
        <v>413</v>
      </c>
      <c r="Z122" s="831"/>
      <c r="AA122" s="832"/>
      <c r="AB122" s="802"/>
      <c r="AC122" s="939" t="s">
        <v>413</v>
      </c>
      <c r="AD122" s="826" t="s">
        <v>413</v>
      </c>
      <c r="AE122" s="826"/>
      <c r="AF122" s="802"/>
    </row>
    <row r="123" spans="1:32" ht="14.25">
      <c r="A123" s="990">
        <v>2011</v>
      </c>
      <c r="B123" s="991"/>
      <c r="C123" s="991" t="s">
        <v>1385</v>
      </c>
      <c r="D123" s="1034" t="s">
        <v>347</v>
      </c>
      <c r="E123" s="1028">
        <v>11000</v>
      </c>
      <c r="F123" s="1035">
        <v>14</v>
      </c>
      <c r="G123" s="1030"/>
      <c r="H123" s="613">
        <v>12</v>
      </c>
      <c r="I123" s="613">
        <v>17</v>
      </c>
      <c r="J123" s="1031">
        <v>100</v>
      </c>
      <c r="K123" s="1032" t="s">
        <v>347</v>
      </c>
      <c r="L123" s="1251">
        <v>15</v>
      </c>
      <c r="M123" s="1232">
        <v>5000</v>
      </c>
      <c r="N123" s="1264">
        <v>0.25</v>
      </c>
      <c r="O123" s="815">
        <v>1.6</v>
      </c>
      <c r="P123" s="812">
        <v>24</v>
      </c>
      <c r="Q123" s="513">
        <v>0.001</v>
      </c>
      <c r="R123" s="201">
        <v>5162.2</v>
      </c>
      <c r="S123" s="201">
        <v>825</v>
      </c>
      <c r="T123" s="1278">
        <v>908.5</v>
      </c>
      <c r="U123" s="514">
        <v>0.5509428571428572</v>
      </c>
      <c r="V123" s="613">
        <v>3.5200000000000005</v>
      </c>
      <c r="W123" s="613"/>
      <c r="X123" s="514">
        <v>0.028</v>
      </c>
      <c r="Y123" s="827">
        <v>3.5200000000000005</v>
      </c>
      <c r="Z123" s="828">
        <v>13.8655</v>
      </c>
      <c r="AA123" s="829"/>
      <c r="AB123" s="830"/>
      <c r="AC123" s="940">
        <v>22</v>
      </c>
      <c r="AD123" s="830" t="s">
        <v>483</v>
      </c>
      <c r="AE123" s="830">
        <v>0</v>
      </c>
      <c r="AF123" s="803">
        <v>2011</v>
      </c>
    </row>
    <row r="124" spans="1:32" ht="14.25">
      <c r="A124" s="154">
        <v>2012</v>
      </c>
      <c r="B124" s="992"/>
      <c r="C124" s="992" t="s">
        <v>514</v>
      </c>
      <c r="D124" s="508" t="s">
        <v>347</v>
      </c>
      <c r="E124" s="504">
        <v>14000</v>
      </c>
      <c r="F124" s="612">
        <v>15</v>
      </c>
      <c r="G124" s="1033"/>
      <c r="H124" s="506">
        <v>13</v>
      </c>
      <c r="I124" s="506">
        <v>18.5</v>
      </c>
      <c r="J124" s="764">
        <v>120</v>
      </c>
      <c r="K124" s="145" t="s">
        <v>347</v>
      </c>
      <c r="L124" s="492">
        <v>15</v>
      </c>
      <c r="M124" s="780">
        <v>5000</v>
      </c>
      <c r="N124" s="500">
        <v>0.25</v>
      </c>
      <c r="O124" s="788">
        <v>1.5</v>
      </c>
      <c r="P124" s="492">
        <v>24</v>
      </c>
      <c r="Q124" s="622">
        <v>0.001</v>
      </c>
      <c r="R124" s="610">
        <v>6331</v>
      </c>
      <c r="S124" s="610">
        <v>1215</v>
      </c>
      <c r="T124" s="1277">
        <v>1117</v>
      </c>
      <c r="U124" s="624">
        <v>0.664</v>
      </c>
      <c r="V124" s="506">
        <v>4.199999999999999</v>
      </c>
      <c r="W124" s="506"/>
      <c r="X124" s="624">
        <v>0.028</v>
      </c>
      <c r="Y124" s="823">
        <v>4.199999999999999</v>
      </c>
      <c r="Z124" s="831">
        <v>14.859166666666667</v>
      </c>
      <c r="AA124" s="832"/>
      <c r="AB124" s="826"/>
      <c r="AC124" s="939">
        <v>28</v>
      </c>
      <c r="AD124" s="826" t="s">
        <v>483</v>
      </c>
      <c r="AE124" s="826">
        <v>0</v>
      </c>
      <c r="AF124" s="804">
        <v>2012</v>
      </c>
    </row>
    <row r="125" spans="1:32" ht="14.25">
      <c r="A125" s="990">
        <v>2013</v>
      </c>
      <c r="B125" s="991"/>
      <c r="C125" s="991" t="s">
        <v>1328</v>
      </c>
      <c r="D125" s="1034" t="s">
        <v>347</v>
      </c>
      <c r="E125" s="1028">
        <v>17000</v>
      </c>
      <c r="F125" s="1035">
        <v>15.5</v>
      </c>
      <c r="G125" s="1030"/>
      <c r="H125" s="613">
        <v>13.5</v>
      </c>
      <c r="I125" s="613">
        <v>19</v>
      </c>
      <c r="J125" s="1031">
        <v>140</v>
      </c>
      <c r="K125" s="1032" t="s">
        <v>347</v>
      </c>
      <c r="L125" s="1251">
        <v>15</v>
      </c>
      <c r="M125" s="1232">
        <v>5000</v>
      </c>
      <c r="N125" s="1264">
        <v>0.25</v>
      </c>
      <c r="O125" s="815">
        <v>1.4</v>
      </c>
      <c r="P125" s="812">
        <v>24</v>
      </c>
      <c r="Q125" s="507"/>
      <c r="R125" s="201" t="s">
        <v>413</v>
      </c>
      <c r="S125" s="201"/>
      <c r="T125" s="1278">
        <v>1325.5</v>
      </c>
      <c r="U125" s="506"/>
      <c r="V125" s="613">
        <v>4.76</v>
      </c>
      <c r="W125" s="613"/>
      <c r="X125" s="506"/>
      <c r="Y125" s="827">
        <v>4.76</v>
      </c>
      <c r="Z125" s="828">
        <v>15.65064285714286</v>
      </c>
      <c r="AA125" s="829"/>
      <c r="AB125" s="830"/>
      <c r="AC125" s="940">
        <v>34</v>
      </c>
      <c r="AD125" s="830" t="s">
        <v>483</v>
      </c>
      <c r="AE125" s="830">
        <v>0</v>
      </c>
      <c r="AF125" s="803">
        <v>2013</v>
      </c>
    </row>
    <row r="126" spans="1:32" ht="14.25">
      <c r="A126" s="154">
        <v>2014</v>
      </c>
      <c r="B126" s="992"/>
      <c r="C126" s="992" t="s">
        <v>1329</v>
      </c>
      <c r="D126" s="503"/>
      <c r="E126" s="504">
        <v>1750</v>
      </c>
      <c r="F126" s="612">
        <v>4.1</v>
      </c>
      <c r="G126" s="1037"/>
      <c r="H126" s="506">
        <v>3.6</v>
      </c>
      <c r="I126" s="506">
        <v>4.8</v>
      </c>
      <c r="J126" s="764">
        <v>100</v>
      </c>
      <c r="L126" s="492">
        <v>15</v>
      </c>
      <c r="M126" s="780">
        <v>5000</v>
      </c>
      <c r="N126" s="500">
        <v>0.25</v>
      </c>
      <c r="O126" s="788">
        <v>5</v>
      </c>
      <c r="P126" s="492">
        <v>12</v>
      </c>
      <c r="Q126" s="626"/>
      <c r="R126" s="627" t="s">
        <v>413</v>
      </c>
      <c r="S126" s="627"/>
      <c r="T126" s="1277">
        <v>193.625</v>
      </c>
      <c r="U126" s="625"/>
      <c r="V126" s="506">
        <v>1.75</v>
      </c>
      <c r="W126" s="506"/>
      <c r="X126" s="625"/>
      <c r="Y126" s="823">
        <v>1.75</v>
      </c>
      <c r="Z126" s="831">
        <v>4.054875000000001</v>
      </c>
      <c r="AA126" s="836"/>
      <c r="AB126" s="826"/>
      <c r="AC126" s="939">
        <v>3.5</v>
      </c>
      <c r="AD126" s="826" t="s">
        <v>483</v>
      </c>
      <c r="AE126" s="826">
        <v>0</v>
      </c>
      <c r="AF126" s="804">
        <v>2014</v>
      </c>
    </row>
    <row r="127" spans="1:32" ht="14.25">
      <c r="A127" s="990">
        <v>2015</v>
      </c>
      <c r="B127" s="991"/>
      <c r="C127" s="991" t="s">
        <v>515</v>
      </c>
      <c r="D127" s="1034" t="s">
        <v>347</v>
      </c>
      <c r="E127" s="1028">
        <v>1850</v>
      </c>
      <c r="F127" s="1035">
        <v>4.4</v>
      </c>
      <c r="G127" s="1030"/>
      <c r="H127" s="613">
        <v>3.7</v>
      </c>
      <c r="I127" s="613">
        <v>5.6</v>
      </c>
      <c r="J127" s="1031">
        <v>60</v>
      </c>
      <c r="K127" s="1032" t="s">
        <v>347</v>
      </c>
      <c r="L127" s="1251">
        <v>15</v>
      </c>
      <c r="M127" s="1232">
        <v>4000</v>
      </c>
      <c r="N127" s="1264">
        <v>0.25</v>
      </c>
      <c r="O127" s="1270">
        <v>1.6</v>
      </c>
      <c r="P127" s="812">
        <v>11</v>
      </c>
      <c r="Q127" s="507"/>
      <c r="R127" s="201" t="s">
        <v>413</v>
      </c>
      <c r="S127" s="201"/>
      <c r="T127" s="1278">
        <v>194.575</v>
      </c>
      <c r="U127" s="506"/>
      <c r="V127" s="613">
        <v>0.7400000000000001</v>
      </c>
      <c r="W127" s="613"/>
      <c r="X127" s="506"/>
      <c r="Y127" s="827">
        <v>0.7400000000000001</v>
      </c>
      <c r="Z127" s="828">
        <v>4.381208333333333</v>
      </c>
      <c r="AA127" s="829"/>
      <c r="AB127" s="830"/>
      <c r="AC127" s="940">
        <v>3.7</v>
      </c>
      <c r="AD127" s="830" t="s">
        <v>483</v>
      </c>
      <c r="AE127" s="830">
        <v>0</v>
      </c>
      <c r="AF127" s="803">
        <v>2015</v>
      </c>
    </row>
    <row r="128" spans="1:32" ht="14.25">
      <c r="A128" s="154">
        <v>2016</v>
      </c>
      <c r="B128" s="992"/>
      <c r="C128" s="992" t="s">
        <v>516</v>
      </c>
      <c r="D128" s="503"/>
      <c r="E128" s="504">
        <v>2100</v>
      </c>
      <c r="F128" s="612">
        <v>4.5</v>
      </c>
      <c r="G128" s="1037"/>
      <c r="H128" s="506">
        <v>4</v>
      </c>
      <c r="I128" s="506">
        <v>5.3</v>
      </c>
      <c r="J128" s="764">
        <v>100</v>
      </c>
      <c r="L128" s="492">
        <v>15</v>
      </c>
      <c r="M128" s="780">
        <v>5000</v>
      </c>
      <c r="N128" s="500">
        <v>0.25</v>
      </c>
      <c r="O128" s="788">
        <v>4.3</v>
      </c>
      <c r="P128" s="492">
        <v>13</v>
      </c>
      <c r="Q128" s="603"/>
      <c r="R128" s="605" t="s">
        <v>413</v>
      </c>
      <c r="S128" s="606"/>
      <c r="T128" s="1277">
        <v>223.95</v>
      </c>
      <c r="U128" s="604"/>
      <c r="V128" s="506">
        <v>1.8059999999999998</v>
      </c>
      <c r="W128" s="506"/>
      <c r="X128" s="604"/>
      <c r="Y128" s="823">
        <v>1.8059999999999998</v>
      </c>
      <c r="Z128" s="831">
        <v>4.45005</v>
      </c>
      <c r="AA128" s="836"/>
      <c r="AB128" s="826"/>
      <c r="AC128" s="939">
        <v>4.2</v>
      </c>
      <c r="AD128" s="826" t="s">
        <v>483</v>
      </c>
      <c r="AE128" s="826">
        <v>0</v>
      </c>
      <c r="AF128" s="804">
        <v>2016</v>
      </c>
    </row>
    <row r="129" spans="1:32" ht="14.25">
      <c r="A129" s="990">
        <v>2017</v>
      </c>
      <c r="B129" s="991"/>
      <c r="C129" s="991" t="s">
        <v>517</v>
      </c>
      <c r="D129" s="1027"/>
      <c r="E129" s="1028">
        <v>5700</v>
      </c>
      <c r="F129" s="1035">
        <v>7.8</v>
      </c>
      <c r="G129" s="1038"/>
      <c r="H129" s="613">
        <v>6.8</v>
      </c>
      <c r="I129" s="613">
        <v>9.5</v>
      </c>
      <c r="J129" s="1031">
        <v>100</v>
      </c>
      <c r="K129" s="1032"/>
      <c r="L129" s="1251">
        <v>15</v>
      </c>
      <c r="M129" s="1232">
        <v>5000</v>
      </c>
      <c r="N129" s="1264">
        <v>0.25</v>
      </c>
      <c r="O129" s="815">
        <v>2.2</v>
      </c>
      <c r="P129" s="812">
        <v>11</v>
      </c>
      <c r="Q129" s="507"/>
      <c r="R129" s="201" t="s">
        <v>413</v>
      </c>
      <c r="S129" s="201"/>
      <c r="T129" s="1278">
        <v>462.15</v>
      </c>
      <c r="U129" s="506"/>
      <c r="V129" s="613">
        <v>2.508</v>
      </c>
      <c r="W129" s="613"/>
      <c r="X129" s="506"/>
      <c r="Y129" s="827">
        <v>2.508</v>
      </c>
      <c r="Z129" s="828">
        <v>7.842450000000001</v>
      </c>
      <c r="AA129" s="837"/>
      <c r="AB129" s="830"/>
      <c r="AC129" s="940">
        <v>11.4</v>
      </c>
      <c r="AD129" s="830" t="s">
        <v>483</v>
      </c>
      <c r="AE129" s="830">
        <v>0</v>
      </c>
      <c r="AF129" s="803">
        <v>2017</v>
      </c>
    </row>
    <row r="130" spans="1:32" ht="14.25">
      <c r="A130" s="154">
        <v>2018</v>
      </c>
      <c r="B130" s="992"/>
      <c r="C130" s="992" t="s">
        <v>518</v>
      </c>
      <c r="D130" s="503"/>
      <c r="E130" s="504">
        <v>4500</v>
      </c>
      <c r="F130" s="612">
        <v>6.9</v>
      </c>
      <c r="G130" s="1037"/>
      <c r="H130" s="506">
        <v>6</v>
      </c>
      <c r="I130" s="506">
        <v>8.3</v>
      </c>
      <c r="J130" s="764">
        <v>100</v>
      </c>
      <c r="L130" s="492">
        <v>15</v>
      </c>
      <c r="M130" s="780">
        <v>5000</v>
      </c>
      <c r="N130" s="500">
        <v>0.25</v>
      </c>
      <c r="O130" s="788">
        <v>2.55</v>
      </c>
      <c r="P130" s="492">
        <v>14</v>
      </c>
      <c r="Q130" s="609">
        <v>0.05</v>
      </c>
      <c r="R130" s="610">
        <v>894</v>
      </c>
      <c r="S130" s="610">
        <v>168</v>
      </c>
      <c r="T130" s="1277">
        <v>396.75</v>
      </c>
      <c r="U130" s="608">
        <v>10.86</v>
      </c>
      <c r="V130" s="506">
        <v>2.295</v>
      </c>
      <c r="W130" s="506"/>
      <c r="X130" s="608">
        <v>1.4000000000000001</v>
      </c>
      <c r="Y130" s="823">
        <v>2.295</v>
      </c>
      <c r="Z130" s="831">
        <v>6.88875</v>
      </c>
      <c r="AA130" s="836"/>
      <c r="AB130" s="826"/>
      <c r="AC130" s="939">
        <v>9</v>
      </c>
      <c r="AD130" s="826" t="s">
        <v>483</v>
      </c>
      <c r="AE130" s="826">
        <v>0</v>
      </c>
      <c r="AF130" s="804">
        <v>2018</v>
      </c>
    </row>
    <row r="131" spans="1:32" ht="14.25">
      <c r="A131" s="990">
        <v>2019</v>
      </c>
      <c r="B131" s="991"/>
      <c r="C131" s="991" t="s">
        <v>519</v>
      </c>
      <c r="D131" s="1027"/>
      <c r="E131" s="1028">
        <v>1150</v>
      </c>
      <c r="F131" s="1035">
        <v>3.2</v>
      </c>
      <c r="G131" s="1038"/>
      <c r="H131" s="613">
        <v>2.7</v>
      </c>
      <c r="I131" s="613">
        <v>4.1</v>
      </c>
      <c r="J131" s="1031">
        <v>60</v>
      </c>
      <c r="K131" s="1032"/>
      <c r="L131" s="1251">
        <v>15</v>
      </c>
      <c r="M131" s="1232">
        <v>5000</v>
      </c>
      <c r="N131" s="1264">
        <v>0.25</v>
      </c>
      <c r="O131" s="1270">
        <v>2.2</v>
      </c>
      <c r="P131" s="812">
        <v>11</v>
      </c>
      <c r="Q131" s="507">
        <v>0.05</v>
      </c>
      <c r="R131" s="201">
        <v>1005.75</v>
      </c>
      <c r="S131" s="201">
        <v>168</v>
      </c>
      <c r="T131" s="1278">
        <v>145.925</v>
      </c>
      <c r="U131" s="506">
        <v>10.00625</v>
      </c>
      <c r="V131" s="613">
        <v>0.5060000000000001</v>
      </c>
      <c r="W131" s="613"/>
      <c r="X131" s="506">
        <v>1.4000000000000001</v>
      </c>
      <c r="Y131" s="827">
        <v>0.5060000000000001</v>
      </c>
      <c r="Z131" s="828">
        <v>3.2318916666666673</v>
      </c>
      <c r="AA131" s="837"/>
      <c r="AB131" s="830"/>
      <c r="AC131" s="940">
        <v>2.3000000000000003</v>
      </c>
      <c r="AD131" s="830" t="s">
        <v>483</v>
      </c>
      <c r="AE131" s="830">
        <v>0</v>
      </c>
      <c r="AF131" s="803">
        <v>2019</v>
      </c>
    </row>
    <row r="132" spans="1:32" ht="14.25">
      <c r="A132" s="154">
        <v>2020</v>
      </c>
      <c r="B132" s="992"/>
      <c r="C132" s="992" t="s">
        <v>520</v>
      </c>
      <c r="D132" s="508" t="s">
        <v>347</v>
      </c>
      <c r="E132" s="504">
        <v>3500</v>
      </c>
      <c r="F132" s="612">
        <v>8</v>
      </c>
      <c r="G132" s="1033"/>
      <c r="H132" s="506">
        <v>6.7</v>
      </c>
      <c r="I132" s="506">
        <v>10.3</v>
      </c>
      <c r="J132" s="764">
        <v>60</v>
      </c>
      <c r="K132" s="145" t="s">
        <v>347</v>
      </c>
      <c r="L132" s="492">
        <v>15</v>
      </c>
      <c r="M132" s="780">
        <v>4000</v>
      </c>
      <c r="N132" s="500">
        <v>0.25</v>
      </c>
      <c r="O132" s="788">
        <v>1.2</v>
      </c>
      <c r="P132" s="492">
        <v>22</v>
      </c>
      <c r="Q132" s="609">
        <v>0.05</v>
      </c>
      <c r="R132" s="610">
        <v>1229.25</v>
      </c>
      <c r="S132" s="610">
        <v>168</v>
      </c>
      <c r="T132" s="1277">
        <v>375.25</v>
      </c>
      <c r="U132" s="608">
        <v>10.216071428571428</v>
      </c>
      <c r="V132" s="506">
        <v>1.05</v>
      </c>
      <c r="W132" s="506"/>
      <c r="X132" s="608">
        <v>1.4000000000000001</v>
      </c>
      <c r="Y132" s="823">
        <v>1.05</v>
      </c>
      <c r="Z132" s="831">
        <v>8.034583333333334</v>
      </c>
      <c r="AA132" s="832"/>
      <c r="AB132" s="826"/>
      <c r="AC132" s="939">
        <v>7</v>
      </c>
      <c r="AD132" s="826" t="s">
        <v>483</v>
      </c>
      <c r="AE132" s="826">
        <v>0</v>
      </c>
      <c r="AF132" s="804">
        <v>2020</v>
      </c>
    </row>
    <row r="133" spans="1:32" ht="14.25">
      <c r="A133" s="990">
        <v>2021</v>
      </c>
      <c r="B133" s="991"/>
      <c r="C133" s="991" t="s">
        <v>521</v>
      </c>
      <c r="D133" s="1027"/>
      <c r="E133" s="1028">
        <v>1750</v>
      </c>
      <c r="F133" s="1035">
        <v>5.4</v>
      </c>
      <c r="G133" s="1038"/>
      <c r="H133" s="613">
        <v>4.7</v>
      </c>
      <c r="I133" s="613">
        <v>6.5</v>
      </c>
      <c r="J133" s="1031">
        <v>60</v>
      </c>
      <c r="K133" s="1032"/>
      <c r="L133" s="1251">
        <v>15</v>
      </c>
      <c r="M133" s="1232">
        <v>5000</v>
      </c>
      <c r="N133" s="1264">
        <v>0.25</v>
      </c>
      <c r="O133" s="815">
        <v>5</v>
      </c>
      <c r="P133" s="812">
        <v>11</v>
      </c>
      <c r="Q133" s="507">
        <v>0.05</v>
      </c>
      <c r="R133" s="201">
        <v>137.825</v>
      </c>
      <c r="S133" s="206">
        <v>84</v>
      </c>
      <c r="T133" s="1278">
        <v>187.625</v>
      </c>
      <c r="U133" s="506">
        <v>2.2552499999999998</v>
      </c>
      <c r="V133" s="613">
        <v>1.75</v>
      </c>
      <c r="W133" s="613"/>
      <c r="X133" s="506">
        <v>1.4000000000000001</v>
      </c>
      <c r="Y133" s="827">
        <v>1.75</v>
      </c>
      <c r="Z133" s="828">
        <v>5.364791666666667</v>
      </c>
      <c r="AA133" s="837"/>
      <c r="AB133" s="830"/>
      <c r="AC133" s="940">
        <v>3.5</v>
      </c>
      <c r="AD133" s="830" t="s">
        <v>483</v>
      </c>
      <c r="AE133" s="830">
        <v>0</v>
      </c>
      <c r="AF133" s="803">
        <v>2021</v>
      </c>
    </row>
    <row r="134" spans="1:32" ht="14.25">
      <c r="A134" s="496"/>
      <c r="B134" s="761"/>
      <c r="C134" s="496"/>
      <c r="D134" s="503"/>
      <c r="E134" s="504"/>
      <c r="F134" s="509"/>
      <c r="G134" s="1037"/>
      <c r="H134" s="506"/>
      <c r="I134" s="506"/>
      <c r="J134" s="764"/>
      <c r="K134" s="495"/>
      <c r="L134" s="496"/>
      <c r="M134" s="764"/>
      <c r="N134" s="500" t="s">
        <v>413</v>
      </c>
      <c r="O134" s="788" t="s">
        <v>413</v>
      </c>
      <c r="P134" s="810"/>
      <c r="Q134" s="609">
        <v>0.02</v>
      </c>
      <c r="R134" s="610">
        <v>111.75</v>
      </c>
      <c r="S134" s="610">
        <v>77</v>
      </c>
      <c r="T134" s="1277" t="s">
        <v>413</v>
      </c>
      <c r="U134" s="608">
        <v>3.1958333333333333</v>
      </c>
      <c r="V134" s="506"/>
      <c r="W134" s="506"/>
      <c r="X134" s="608">
        <v>0.56</v>
      </c>
      <c r="Y134" s="823" t="s">
        <v>413</v>
      </c>
      <c r="Z134" s="831"/>
      <c r="AA134" s="836"/>
      <c r="AB134" s="802"/>
      <c r="AC134" s="939" t="s">
        <v>413</v>
      </c>
      <c r="AD134" s="826" t="s">
        <v>413</v>
      </c>
      <c r="AE134" s="826"/>
      <c r="AF134" s="802"/>
    </row>
    <row r="135" spans="1:32" ht="28.5">
      <c r="A135" s="987">
        <v>2030</v>
      </c>
      <c r="B135" s="988"/>
      <c r="C135" s="989" t="s">
        <v>522</v>
      </c>
      <c r="D135" s="1021"/>
      <c r="E135" s="1022"/>
      <c r="F135" s="1023"/>
      <c r="G135" s="1024"/>
      <c r="H135" s="1025"/>
      <c r="I135" s="1025"/>
      <c r="J135" s="1026"/>
      <c r="K135" s="1026"/>
      <c r="L135" s="1021"/>
      <c r="M135" s="1026"/>
      <c r="N135" s="1263" t="s">
        <v>413</v>
      </c>
      <c r="O135" s="816" t="s">
        <v>413</v>
      </c>
      <c r="P135" s="809"/>
      <c r="Q135" s="507">
        <v>0.05</v>
      </c>
      <c r="R135" s="201">
        <v>145.275</v>
      </c>
      <c r="S135" s="206">
        <v>91</v>
      </c>
      <c r="T135" s="1276" t="s">
        <v>413</v>
      </c>
      <c r="U135" s="506">
        <v>2.4017500000000003</v>
      </c>
      <c r="V135" s="1025"/>
      <c r="W135" s="1025"/>
      <c r="X135" s="506">
        <v>1.4000000000000001</v>
      </c>
      <c r="Y135" s="833" t="s">
        <v>413</v>
      </c>
      <c r="Z135" s="820"/>
      <c r="AA135" s="821"/>
      <c r="AB135" s="822"/>
      <c r="AC135" s="938" t="s">
        <v>413</v>
      </c>
      <c r="AD135" s="822" t="s">
        <v>413</v>
      </c>
      <c r="AE135" s="822"/>
      <c r="AF135" s="801">
        <v>2030</v>
      </c>
    </row>
    <row r="136" spans="1:32" ht="14.25">
      <c r="A136" s="496"/>
      <c r="B136" s="761"/>
      <c r="C136" s="496"/>
      <c r="D136" s="503"/>
      <c r="E136" s="504"/>
      <c r="F136" s="509"/>
      <c r="G136" s="1037"/>
      <c r="H136" s="506"/>
      <c r="I136" s="506"/>
      <c r="J136" s="764"/>
      <c r="K136" s="495"/>
      <c r="L136" s="496"/>
      <c r="M136" s="764"/>
      <c r="N136" s="500" t="s">
        <v>413</v>
      </c>
      <c r="O136" s="788" t="s">
        <v>413</v>
      </c>
      <c r="P136" s="810"/>
      <c r="Q136" s="609">
        <v>0.05</v>
      </c>
      <c r="R136" s="610">
        <v>491.7</v>
      </c>
      <c r="S136" s="628">
        <v>77</v>
      </c>
      <c r="T136" s="1277" t="s">
        <v>413</v>
      </c>
      <c r="U136" s="608">
        <v>5.819000000000001</v>
      </c>
      <c r="V136" s="506"/>
      <c r="W136" s="506"/>
      <c r="X136" s="608">
        <v>1.4000000000000001</v>
      </c>
      <c r="Y136" s="823" t="s">
        <v>413</v>
      </c>
      <c r="Z136" s="831"/>
      <c r="AA136" s="836"/>
      <c r="AB136" s="802"/>
      <c r="AC136" s="939" t="s">
        <v>413</v>
      </c>
      <c r="AD136" s="826" t="s">
        <v>413</v>
      </c>
      <c r="AE136" s="826"/>
      <c r="AF136" s="802"/>
    </row>
    <row r="137" spans="1:32" ht="14.25">
      <c r="A137" s="990">
        <v>2031</v>
      </c>
      <c r="B137" s="991"/>
      <c r="C137" s="991" t="s">
        <v>523</v>
      </c>
      <c r="D137" s="1034" t="s">
        <v>347</v>
      </c>
      <c r="E137" s="1028">
        <v>1150</v>
      </c>
      <c r="F137" s="1035">
        <v>3.6</v>
      </c>
      <c r="G137" s="1030"/>
      <c r="H137" s="613">
        <v>3.1</v>
      </c>
      <c r="I137" s="613">
        <v>4.5</v>
      </c>
      <c r="J137" s="1031">
        <v>60</v>
      </c>
      <c r="K137" s="1032" t="s">
        <v>347</v>
      </c>
      <c r="L137" s="1251">
        <v>15</v>
      </c>
      <c r="M137" s="1232">
        <v>4000</v>
      </c>
      <c r="N137" s="1264">
        <v>0.25</v>
      </c>
      <c r="O137" s="815">
        <v>2.9</v>
      </c>
      <c r="P137" s="812">
        <v>11</v>
      </c>
      <c r="Q137" s="507">
        <v>0.05</v>
      </c>
      <c r="R137" s="201">
        <v>365.05</v>
      </c>
      <c r="S137" s="206">
        <v>98</v>
      </c>
      <c r="T137" s="1278">
        <v>145.925</v>
      </c>
      <c r="U137" s="506">
        <v>4.7285</v>
      </c>
      <c r="V137" s="613">
        <v>0.8337499999999999</v>
      </c>
      <c r="W137" s="613"/>
      <c r="X137" s="506">
        <v>1.4000000000000001</v>
      </c>
      <c r="Y137" s="827">
        <v>0.8337499999999999</v>
      </c>
      <c r="Z137" s="828">
        <v>3.592416666666667</v>
      </c>
      <c r="AA137" s="829"/>
      <c r="AB137" s="830"/>
      <c r="AC137" s="940">
        <v>2.3000000000000003</v>
      </c>
      <c r="AD137" s="830" t="s">
        <v>483</v>
      </c>
      <c r="AE137" s="830">
        <v>0</v>
      </c>
      <c r="AF137" s="803">
        <v>2031</v>
      </c>
    </row>
    <row r="138" spans="1:32" ht="14.25">
      <c r="A138" s="154">
        <v>2032</v>
      </c>
      <c r="B138" s="992"/>
      <c r="C138" s="992" t="s">
        <v>524</v>
      </c>
      <c r="D138" s="515"/>
      <c r="E138" s="504">
        <v>4500</v>
      </c>
      <c r="F138" s="612">
        <v>8.7</v>
      </c>
      <c r="G138" s="1064"/>
      <c r="H138" s="506">
        <v>7.3</v>
      </c>
      <c r="I138" s="506">
        <v>11.1</v>
      </c>
      <c r="J138" s="764">
        <v>60</v>
      </c>
      <c r="K138" s="145" t="s">
        <v>347</v>
      </c>
      <c r="L138" s="492">
        <v>15</v>
      </c>
      <c r="M138" s="780">
        <v>4000</v>
      </c>
      <c r="N138" s="500">
        <v>0.25</v>
      </c>
      <c r="O138" s="788">
        <v>1.45</v>
      </c>
      <c r="P138" s="492">
        <v>11</v>
      </c>
      <c r="Q138" s="609">
        <v>0.05</v>
      </c>
      <c r="R138" s="610">
        <v>89.4</v>
      </c>
      <c r="S138" s="628">
        <v>77</v>
      </c>
      <c r="T138" s="1277">
        <v>378.75</v>
      </c>
      <c r="U138" s="608">
        <v>2.8133333333333335</v>
      </c>
      <c r="V138" s="506">
        <v>1.6312499999999999</v>
      </c>
      <c r="W138" s="506"/>
      <c r="X138" s="608">
        <v>1.4000000000000001</v>
      </c>
      <c r="Y138" s="823">
        <v>1.6312499999999999</v>
      </c>
      <c r="Z138" s="831">
        <v>8.738125</v>
      </c>
      <c r="AA138" s="860"/>
      <c r="AB138" s="826"/>
      <c r="AC138" s="939">
        <v>9</v>
      </c>
      <c r="AD138" s="826" t="s">
        <v>483</v>
      </c>
      <c r="AE138" s="826">
        <v>0</v>
      </c>
      <c r="AF138" s="804">
        <v>2032</v>
      </c>
    </row>
    <row r="139" spans="1:32" ht="14.25">
      <c r="A139" s="990">
        <v>2033</v>
      </c>
      <c r="B139" s="991"/>
      <c r="C139" s="991" t="s">
        <v>525</v>
      </c>
      <c r="D139" s="1034" t="s">
        <v>347</v>
      </c>
      <c r="E139" s="1028">
        <v>12200</v>
      </c>
      <c r="F139" s="1035">
        <v>18</v>
      </c>
      <c r="G139" s="1030"/>
      <c r="H139" s="613">
        <v>15</v>
      </c>
      <c r="I139" s="613">
        <v>22.5</v>
      </c>
      <c r="J139" s="1031">
        <v>75</v>
      </c>
      <c r="K139" s="1032" t="s">
        <v>347</v>
      </c>
      <c r="L139" s="1251">
        <v>15</v>
      </c>
      <c r="M139" s="1232">
        <v>4000</v>
      </c>
      <c r="N139" s="1264">
        <v>0.25</v>
      </c>
      <c r="O139" s="1270">
        <v>1.25</v>
      </c>
      <c r="P139" s="812">
        <v>15</v>
      </c>
      <c r="Q139" s="507">
        <v>0.02</v>
      </c>
      <c r="R139" s="201">
        <v>298</v>
      </c>
      <c r="S139" s="201">
        <v>154</v>
      </c>
      <c r="T139" s="1278">
        <v>937.9</v>
      </c>
      <c r="U139" s="506">
        <v>7.666666666666667</v>
      </c>
      <c r="V139" s="613">
        <v>3.8125</v>
      </c>
      <c r="W139" s="613"/>
      <c r="X139" s="506">
        <v>0.56</v>
      </c>
      <c r="Y139" s="827">
        <v>3.8125</v>
      </c>
      <c r="Z139" s="828">
        <v>17.949616666666667</v>
      </c>
      <c r="AA139" s="829"/>
      <c r="AB139" s="830"/>
      <c r="AC139" s="940">
        <v>24.400000000000002</v>
      </c>
      <c r="AD139" s="830" t="s">
        <v>483</v>
      </c>
      <c r="AE139" s="830">
        <v>0</v>
      </c>
      <c r="AF139" s="803">
        <v>2033</v>
      </c>
    </row>
    <row r="140" spans="1:32" ht="14.25">
      <c r="A140" s="154">
        <v>2034</v>
      </c>
      <c r="B140" s="992"/>
      <c r="C140" s="992" t="s">
        <v>526</v>
      </c>
      <c r="D140" s="508" t="s">
        <v>347</v>
      </c>
      <c r="E140" s="504">
        <v>2400</v>
      </c>
      <c r="F140" s="612">
        <v>3.4</v>
      </c>
      <c r="G140" s="1033"/>
      <c r="H140" s="506">
        <v>2.9</v>
      </c>
      <c r="I140" s="506">
        <v>4.2</v>
      </c>
      <c r="J140" s="764">
        <v>100</v>
      </c>
      <c r="K140" s="145" t="s">
        <v>347</v>
      </c>
      <c r="L140" s="492">
        <v>15</v>
      </c>
      <c r="M140" s="780">
        <v>4000</v>
      </c>
      <c r="N140" s="500">
        <v>0.25</v>
      </c>
      <c r="O140" s="1269">
        <v>1.25</v>
      </c>
      <c r="P140" s="492">
        <v>11</v>
      </c>
      <c r="Q140" s="609">
        <v>0.05</v>
      </c>
      <c r="R140" s="610">
        <v>122.925</v>
      </c>
      <c r="S140" s="628">
        <v>77</v>
      </c>
      <c r="T140" s="1277">
        <v>232.8</v>
      </c>
      <c r="U140" s="608">
        <v>3.387083333333334</v>
      </c>
      <c r="V140" s="506">
        <v>0.75</v>
      </c>
      <c r="W140" s="506"/>
      <c r="X140" s="608">
        <v>1.4000000000000001</v>
      </c>
      <c r="Y140" s="823">
        <v>0.75</v>
      </c>
      <c r="Z140" s="831">
        <v>3.3858000000000006</v>
      </c>
      <c r="AA140" s="832"/>
      <c r="AB140" s="826"/>
      <c r="AC140" s="939">
        <v>4.8</v>
      </c>
      <c r="AD140" s="826" t="s">
        <v>483</v>
      </c>
      <c r="AE140" s="826">
        <v>0</v>
      </c>
      <c r="AF140" s="804">
        <v>2034</v>
      </c>
    </row>
    <row r="141" spans="1:32" ht="14.25">
      <c r="A141" s="990">
        <v>2035</v>
      </c>
      <c r="B141" s="991"/>
      <c r="C141" s="991" t="s">
        <v>527</v>
      </c>
      <c r="D141" s="1034" t="s">
        <v>347</v>
      </c>
      <c r="E141" s="1028">
        <v>3100</v>
      </c>
      <c r="F141" s="1035">
        <v>4.9</v>
      </c>
      <c r="G141" s="1030"/>
      <c r="H141" s="613">
        <v>4.2</v>
      </c>
      <c r="I141" s="613">
        <v>6</v>
      </c>
      <c r="J141" s="1031">
        <v>120</v>
      </c>
      <c r="K141" s="1032" t="s">
        <v>347</v>
      </c>
      <c r="L141" s="1251">
        <v>12</v>
      </c>
      <c r="M141" s="1232">
        <v>4000</v>
      </c>
      <c r="N141" s="1264">
        <v>0.25</v>
      </c>
      <c r="O141" s="815">
        <v>1.7</v>
      </c>
      <c r="P141" s="812">
        <v>20</v>
      </c>
      <c r="Q141" s="507"/>
      <c r="R141" s="201" t="s">
        <v>413</v>
      </c>
      <c r="S141" s="206"/>
      <c r="T141" s="1278">
        <v>374.2</v>
      </c>
      <c r="U141" s="506"/>
      <c r="V141" s="613">
        <v>1.3175</v>
      </c>
      <c r="W141" s="613"/>
      <c r="X141" s="506"/>
      <c r="Y141" s="827">
        <v>1.3175</v>
      </c>
      <c r="Z141" s="828">
        <v>4.879416666666667</v>
      </c>
      <c r="AA141" s="829"/>
      <c r="AB141" s="830"/>
      <c r="AC141" s="940">
        <v>6.2</v>
      </c>
      <c r="AD141" s="830" t="s">
        <v>483</v>
      </c>
      <c r="AE141" s="830">
        <v>0</v>
      </c>
      <c r="AF141" s="803">
        <v>2035</v>
      </c>
    </row>
    <row r="142" spans="1:32" ht="14.25">
      <c r="A142" s="154">
        <v>2036</v>
      </c>
      <c r="B142" s="992"/>
      <c r="C142" s="992" t="s">
        <v>528</v>
      </c>
      <c r="D142" s="508" t="s">
        <v>347</v>
      </c>
      <c r="E142" s="504">
        <v>8100</v>
      </c>
      <c r="F142" s="612">
        <v>10.5</v>
      </c>
      <c r="G142" s="1033"/>
      <c r="H142" s="506">
        <v>9</v>
      </c>
      <c r="I142" s="506">
        <v>12.5</v>
      </c>
      <c r="J142" s="764">
        <v>120</v>
      </c>
      <c r="K142" s="145" t="s">
        <v>347</v>
      </c>
      <c r="L142" s="492">
        <v>12</v>
      </c>
      <c r="M142" s="780">
        <v>4000</v>
      </c>
      <c r="N142" s="500">
        <v>0.25</v>
      </c>
      <c r="O142" s="788">
        <v>1.65</v>
      </c>
      <c r="P142" s="492">
        <v>12</v>
      </c>
      <c r="Q142" s="603"/>
      <c r="R142" s="605" t="s">
        <v>413</v>
      </c>
      <c r="S142" s="606"/>
      <c r="T142" s="1277">
        <v>736.2</v>
      </c>
      <c r="U142" s="604"/>
      <c r="V142" s="506">
        <v>3.3412499999999996</v>
      </c>
      <c r="W142" s="506"/>
      <c r="X142" s="604"/>
      <c r="Y142" s="823">
        <v>3.3412499999999996</v>
      </c>
      <c r="Z142" s="831">
        <v>10.423875</v>
      </c>
      <c r="AA142" s="832"/>
      <c r="AB142" s="826"/>
      <c r="AC142" s="939">
        <v>16.2</v>
      </c>
      <c r="AD142" s="826" t="s">
        <v>483</v>
      </c>
      <c r="AE142" s="826">
        <v>0</v>
      </c>
      <c r="AF142" s="804">
        <v>2036</v>
      </c>
    </row>
    <row r="143" spans="1:32" ht="14.25">
      <c r="A143" s="990">
        <v>2037</v>
      </c>
      <c r="B143" s="991"/>
      <c r="C143" s="991" t="s">
        <v>529</v>
      </c>
      <c r="D143" s="1034" t="s">
        <v>347</v>
      </c>
      <c r="E143" s="1028">
        <v>6200</v>
      </c>
      <c r="F143" s="1035">
        <v>7.9</v>
      </c>
      <c r="G143" s="1030"/>
      <c r="H143" s="613">
        <v>6.8</v>
      </c>
      <c r="I143" s="613">
        <v>9.7</v>
      </c>
      <c r="J143" s="1031">
        <v>120</v>
      </c>
      <c r="K143" s="1032" t="s">
        <v>347</v>
      </c>
      <c r="L143" s="1251">
        <v>12</v>
      </c>
      <c r="M143" s="1232">
        <v>5000</v>
      </c>
      <c r="N143" s="1264">
        <v>0.25</v>
      </c>
      <c r="O143" s="815">
        <v>1.9</v>
      </c>
      <c r="P143" s="812">
        <v>12</v>
      </c>
      <c r="Q143" s="507"/>
      <c r="R143" s="201" t="s">
        <v>413</v>
      </c>
      <c r="S143" s="206"/>
      <c r="T143" s="1278">
        <v>580.4</v>
      </c>
      <c r="U143" s="506"/>
      <c r="V143" s="613">
        <v>2.356</v>
      </c>
      <c r="W143" s="613"/>
      <c r="X143" s="506"/>
      <c r="Y143" s="827">
        <v>2.356</v>
      </c>
      <c r="Z143" s="828">
        <v>7.911933333333334</v>
      </c>
      <c r="AA143" s="829"/>
      <c r="AB143" s="830"/>
      <c r="AC143" s="940">
        <v>12.4</v>
      </c>
      <c r="AD143" s="830" t="s">
        <v>483</v>
      </c>
      <c r="AE143" s="830">
        <v>0</v>
      </c>
      <c r="AF143" s="803">
        <v>2037</v>
      </c>
    </row>
    <row r="144" spans="1:32" ht="28.5">
      <c r="A144" s="154">
        <v>2038</v>
      </c>
      <c r="B144" s="992"/>
      <c r="C144" s="992" t="s">
        <v>530</v>
      </c>
      <c r="D144" s="508" t="s">
        <v>347</v>
      </c>
      <c r="E144" s="504">
        <v>10500</v>
      </c>
      <c r="F144" s="612">
        <v>10.5</v>
      </c>
      <c r="G144" s="1033"/>
      <c r="H144" s="506">
        <v>9</v>
      </c>
      <c r="I144" s="506">
        <v>13</v>
      </c>
      <c r="J144" s="764">
        <v>150</v>
      </c>
      <c r="K144" s="145" t="s">
        <v>347</v>
      </c>
      <c r="L144" s="492">
        <v>12</v>
      </c>
      <c r="M144" s="780">
        <v>4000</v>
      </c>
      <c r="N144" s="500">
        <v>0.25</v>
      </c>
      <c r="O144" s="788">
        <v>1.3</v>
      </c>
      <c r="P144" s="492">
        <v>12</v>
      </c>
      <c r="Q144" s="609">
        <v>0.02</v>
      </c>
      <c r="R144" s="610">
        <v>108.025</v>
      </c>
      <c r="S144" s="610">
        <v>77</v>
      </c>
      <c r="T144" s="1277">
        <v>933</v>
      </c>
      <c r="U144" s="608">
        <v>3.1320833333333336</v>
      </c>
      <c r="V144" s="506">
        <v>3.4125</v>
      </c>
      <c r="W144" s="506"/>
      <c r="X144" s="608">
        <v>0.56</v>
      </c>
      <c r="Y144" s="823">
        <v>3.4125</v>
      </c>
      <c r="Z144" s="831">
        <v>10.59575</v>
      </c>
      <c r="AA144" s="832"/>
      <c r="AB144" s="826"/>
      <c r="AC144" s="939">
        <v>21</v>
      </c>
      <c r="AD144" s="826" t="s">
        <v>483</v>
      </c>
      <c r="AE144" s="826">
        <v>0</v>
      </c>
      <c r="AF144" s="804">
        <v>2038</v>
      </c>
    </row>
    <row r="145" spans="1:32" ht="14.25">
      <c r="A145" s="990">
        <v>2039</v>
      </c>
      <c r="B145" s="991"/>
      <c r="C145" s="991" t="s">
        <v>531</v>
      </c>
      <c r="D145" s="1034" t="s">
        <v>347</v>
      </c>
      <c r="E145" s="1028">
        <v>6200</v>
      </c>
      <c r="F145" s="1035">
        <v>10</v>
      </c>
      <c r="G145" s="1030"/>
      <c r="H145" s="613">
        <v>9</v>
      </c>
      <c r="I145" s="613">
        <v>12</v>
      </c>
      <c r="J145" s="1031">
        <v>150</v>
      </c>
      <c r="K145" s="1032" t="s">
        <v>347</v>
      </c>
      <c r="L145" s="1251">
        <v>12</v>
      </c>
      <c r="M145" s="1232">
        <v>2500</v>
      </c>
      <c r="N145" s="1264">
        <v>0.1</v>
      </c>
      <c r="O145" s="815">
        <v>1.9</v>
      </c>
      <c r="P145" s="812">
        <v>19</v>
      </c>
      <c r="Q145" s="507">
        <v>0.02</v>
      </c>
      <c r="R145" s="201">
        <v>216.05</v>
      </c>
      <c r="S145" s="201">
        <v>77</v>
      </c>
      <c r="T145" s="1278">
        <v>690.6</v>
      </c>
      <c r="U145" s="506">
        <v>4.980833333333334</v>
      </c>
      <c r="V145" s="613">
        <v>4.712</v>
      </c>
      <c r="W145" s="613"/>
      <c r="X145" s="506">
        <v>0.56</v>
      </c>
      <c r="Y145" s="827">
        <v>4.712</v>
      </c>
      <c r="Z145" s="828">
        <v>10.2476</v>
      </c>
      <c r="AA145" s="829"/>
      <c r="AB145" s="830"/>
      <c r="AC145" s="940">
        <v>12.4</v>
      </c>
      <c r="AD145" s="830" t="s">
        <v>483</v>
      </c>
      <c r="AE145" s="830">
        <v>0</v>
      </c>
      <c r="AF145" s="803">
        <v>2039</v>
      </c>
    </row>
    <row r="146" spans="1:32" ht="14.25">
      <c r="A146" s="496"/>
      <c r="B146" s="761"/>
      <c r="C146" s="496"/>
      <c r="D146" s="508"/>
      <c r="E146" s="504"/>
      <c r="F146" s="509"/>
      <c r="G146" s="496"/>
      <c r="H146" s="506"/>
      <c r="I146" s="506"/>
      <c r="J146" s="764"/>
      <c r="K146" s="495"/>
      <c r="L146" s="496"/>
      <c r="M146" s="780"/>
      <c r="N146" s="500" t="s">
        <v>413</v>
      </c>
      <c r="O146" s="788" t="s">
        <v>413</v>
      </c>
      <c r="P146" s="810"/>
      <c r="Q146" s="609">
        <v>0.05</v>
      </c>
      <c r="R146" s="610">
        <v>707.75</v>
      </c>
      <c r="S146" s="610">
        <v>105</v>
      </c>
      <c r="T146" s="1277" t="s">
        <v>413</v>
      </c>
      <c r="U146" s="608">
        <v>11.09</v>
      </c>
      <c r="V146" s="506"/>
      <c r="W146" s="506"/>
      <c r="X146" s="608">
        <v>1.4000000000000001</v>
      </c>
      <c r="Y146" s="823" t="s">
        <v>413</v>
      </c>
      <c r="Z146" s="831"/>
      <c r="AA146" s="832"/>
      <c r="AB146" s="802"/>
      <c r="AC146" s="939" t="s">
        <v>413</v>
      </c>
      <c r="AD146" s="826" t="s">
        <v>413</v>
      </c>
      <c r="AE146" s="826"/>
      <c r="AF146" s="802"/>
    </row>
    <row r="147" spans="1:32" ht="14.25">
      <c r="A147" s="987">
        <v>2050</v>
      </c>
      <c r="B147" s="988"/>
      <c r="C147" s="989" t="s">
        <v>532</v>
      </c>
      <c r="D147" s="1021"/>
      <c r="E147" s="1022"/>
      <c r="F147" s="1023"/>
      <c r="G147" s="1024"/>
      <c r="H147" s="1025"/>
      <c r="I147" s="1025"/>
      <c r="J147" s="1026"/>
      <c r="K147" s="1026"/>
      <c r="L147" s="1021"/>
      <c r="M147" s="1026"/>
      <c r="N147" s="1263" t="s">
        <v>413</v>
      </c>
      <c r="O147" s="816" t="s">
        <v>413</v>
      </c>
      <c r="P147" s="809"/>
      <c r="Q147" s="513">
        <v>0.01</v>
      </c>
      <c r="R147" s="201">
        <v>171.35</v>
      </c>
      <c r="S147" s="201">
        <v>77</v>
      </c>
      <c r="T147" s="1276" t="s">
        <v>413</v>
      </c>
      <c r="U147" s="506">
        <v>2.5295</v>
      </c>
      <c r="V147" s="1025"/>
      <c r="W147" s="1025"/>
      <c r="X147" s="506">
        <v>0.28</v>
      </c>
      <c r="Y147" s="833" t="s">
        <v>413</v>
      </c>
      <c r="Z147" s="820"/>
      <c r="AA147" s="821"/>
      <c r="AB147" s="822"/>
      <c r="AC147" s="938" t="s">
        <v>413</v>
      </c>
      <c r="AD147" s="822" t="s">
        <v>413</v>
      </c>
      <c r="AE147" s="822"/>
      <c r="AF147" s="801">
        <v>2050</v>
      </c>
    </row>
    <row r="148" spans="1:32" ht="14.25">
      <c r="A148" s="496"/>
      <c r="B148" s="761"/>
      <c r="C148" s="496"/>
      <c r="D148" s="508"/>
      <c r="E148" s="504"/>
      <c r="F148" s="509"/>
      <c r="G148" s="496"/>
      <c r="H148" s="506"/>
      <c r="I148" s="506"/>
      <c r="J148" s="764"/>
      <c r="K148" s="495"/>
      <c r="L148" s="496"/>
      <c r="M148" s="764"/>
      <c r="N148" s="500" t="s">
        <v>413</v>
      </c>
      <c r="O148" s="788" t="s">
        <v>413</v>
      </c>
      <c r="P148" s="810"/>
      <c r="Q148" s="609">
        <v>0.02</v>
      </c>
      <c r="R148" s="610">
        <v>217.5</v>
      </c>
      <c r="S148" s="610">
        <v>140</v>
      </c>
      <c r="T148" s="1277" t="s">
        <v>413</v>
      </c>
      <c r="U148" s="608">
        <v>3.0208333333333335</v>
      </c>
      <c r="V148" s="506"/>
      <c r="W148" s="506"/>
      <c r="X148" s="608">
        <v>0.56</v>
      </c>
      <c r="Y148" s="823" t="s">
        <v>413</v>
      </c>
      <c r="Z148" s="831"/>
      <c r="AA148" s="832"/>
      <c r="AB148" s="802"/>
      <c r="AC148" s="939" t="s">
        <v>413</v>
      </c>
      <c r="AD148" s="826" t="s">
        <v>413</v>
      </c>
      <c r="AE148" s="826"/>
      <c r="AF148" s="802"/>
    </row>
    <row r="149" spans="1:32" ht="14.25">
      <c r="A149" s="990">
        <v>2051</v>
      </c>
      <c r="B149" s="991"/>
      <c r="C149" s="991" t="s">
        <v>533</v>
      </c>
      <c r="D149" s="1034" t="s">
        <v>347</v>
      </c>
      <c r="E149" s="1028">
        <v>5900</v>
      </c>
      <c r="F149" s="1035">
        <v>10</v>
      </c>
      <c r="G149" s="1030"/>
      <c r="H149" s="613">
        <v>8.5</v>
      </c>
      <c r="I149" s="613">
        <v>12.5</v>
      </c>
      <c r="J149" s="1031">
        <v>80</v>
      </c>
      <c r="K149" s="1032" t="s">
        <v>347</v>
      </c>
      <c r="L149" s="1251">
        <v>15</v>
      </c>
      <c r="M149" s="1232">
        <v>5000</v>
      </c>
      <c r="N149" s="1264">
        <v>0.25</v>
      </c>
      <c r="O149" s="815">
        <v>1.75</v>
      </c>
      <c r="P149" s="812">
        <v>24</v>
      </c>
      <c r="Q149" s="507">
        <v>0.05</v>
      </c>
      <c r="R149" s="201">
        <v>791.7</v>
      </c>
      <c r="S149" s="201">
        <v>84</v>
      </c>
      <c r="T149" s="1278">
        <v>554.05</v>
      </c>
      <c r="U149" s="506">
        <v>7.449166666666668</v>
      </c>
      <c r="V149" s="613">
        <v>2.065</v>
      </c>
      <c r="W149" s="613"/>
      <c r="X149" s="506">
        <v>1.4000000000000001</v>
      </c>
      <c r="Y149" s="827">
        <v>2.065</v>
      </c>
      <c r="Z149" s="828">
        <v>9.8896875</v>
      </c>
      <c r="AA149" s="829"/>
      <c r="AB149" s="830"/>
      <c r="AC149" s="940">
        <v>11.8</v>
      </c>
      <c r="AD149" s="830" t="s">
        <v>483</v>
      </c>
      <c r="AE149" s="830">
        <v>0</v>
      </c>
      <c r="AF149" s="803">
        <v>2051</v>
      </c>
    </row>
    <row r="150" spans="1:32" ht="14.25">
      <c r="A150" s="154">
        <v>2052</v>
      </c>
      <c r="B150" s="992"/>
      <c r="C150" s="992" t="s">
        <v>534</v>
      </c>
      <c r="D150" s="508" t="s">
        <v>347</v>
      </c>
      <c r="E150" s="504">
        <v>12000</v>
      </c>
      <c r="F150" s="612">
        <v>17</v>
      </c>
      <c r="G150" s="1033"/>
      <c r="H150" s="506">
        <v>14.5</v>
      </c>
      <c r="I150" s="506">
        <v>21.5</v>
      </c>
      <c r="J150" s="764">
        <v>80</v>
      </c>
      <c r="K150" s="145" t="s">
        <v>347</v>
      </c>
      <c r="L150" s="492">
        <v>15</v>
      </c>
      <c r="M150" s="780">
        <v>5000</v>
      </c>
      <c r="N150" s="500">
        <v>0.25</v>
      </c>
      <c r="O150" s="788">
        <v>1.35</v>
      </c>
      <c r="P150" s="492">
        <v>24</v>
      </c>
      <c r="Q150" s="609">
        <v>0.05</v>
      </c>
      <c r="R150" s="610">
        <v>530.7</v>
      </c>
      <c r="S150" s="610">
        <v>84</v>
      </c>
      <c r="T150" s="1277">
        <v>978</v>
      </c>
      <c r="U150" s="608">
        <v>5.224166666666667</v>
      </c>
      <c r="V150" s="506">
        <v>3.24</v>
      </c>
      <c r="W150" s="506"/>
      <c r="X150" s="608">
        <v>1.4000000000000001</v>
      </c>
      <c r="Y150" s="823">
        <v>3.24</v>
      </c>
      <c r="Z150" s="831">
        <v>17.0115</v>
      </c>
      <c r="AA150" s="832"/>
      <c r="AB150" s="826"/>
      <c r="AC150" s="939">
        <v>24</v>
      </c>
      <c r="AD150" s="826" t="s">
        <v>483</v>
      </c>
      <c r="AE150" s="826">
        <v>0</v>
      </c>
      <c r="AF150" s="804">
        <v>2052</v>
      </c>
    </row>
    <row r="151" spans="1:32" ht="14.25">
      <c r="A151" s="990">
        <v>2053</v>
      </c>
      <c r="B151" s="991"/>
      <c r="C151" s="991" t="s">
        <v>535</v>
      </c>
      <c r="D151" s="1034" t="s">
        <v>347</v>
      </c>
      <c r="E151" s="1028">
        <v>29000</v>
      </c>
      <c r="F151" s="1035">
        <v>43.5</v>
      </c>
      <c r="G151" s="1030"/>
      <c r="H151" s="613">
        <v>37</v>
      </c>
      <c r="I151" s="613">
        <v>55</v>
      </c>
      <c r="J151" s="1031">
        <v>80</v>
      </c>
      <c r="K151" s="1032" t="s">
        <v>347</v>
      </c>
      <c r="L151" s="1251">
        <v>12</v>
      </c>
      <c r="M151" s="1232">
        <v>3000</v>
      </c>
      <c r="N151" s="1264">
        <v>0.25</v>
      </c>
      <c r="O151" s="815">
        <v>0.85</v>
      </c>
      <c r="P151" s="812">
        <v>23</v>
      </c>
      <c r="Q151" s="507">
        <v>0.05</v>
      </c>
      <c r="R151" s="201">
        <v>1000.5</v>
      </c>
      <c r="S151" s="201">
        <v>84</v>
      </c>
      <c r="T151" s="1278">
        <v>2516</v>
      </c>
      <c r="U151" s="506">
        <v>7.383333333333334</v>
      </c>
      <c r="V151" s="613">
        <v>8.216666666666667</v>
      </c>
      <c r="W151" s="613"/>
      <c r="X151" s="506">
        <v>1.4000000000000001</v>
      </c>
      <c r="Y151" s="827">
        <v>8.216666666666667</v>
      </c>
      <c r="Z151" s="828">
        <v>43.63333333333333</v>
      </c>
      <c r="AA151" s="829"/>
      <c r="AB151" s="830"/>
      <c r="AC151" s="940">
        <v>58</v>
      </c>
      <c r="AD151" s="830" t="s">
        <v>483</v>
      </c>
      <c r="AE151" s="830">
        <v>0</v>
      </c>
      <c r="AF151" s="803">
        <v>2053</v>
      </c>
    </row>
    <row r="152" spans="1:32" ht="14.25">
      <c r="A152" s="496"/>
      <c r="B152" s="761"/>
      <c r="C152" s="496"/>
      <c r="D152" s="508"/>
      <c r="E152" s="504"/>
      <c r="F152" s="509"/>
      <c r="G152" s="496"/>
      <c r="H152" s="506"/>
      <c r="I152" s="506"/>
      <c r="J152" s="764"/>
      <c r="K152" s="495"/>
      <c r="L152" s="496"/>
      <c r="M152" s="780"/>
      <c r="N152" s="500" t="s">
        <v>413</v>
      </c>
      <c r="O152" s="788" t="s">
        <v>413</v>
      </c>
      <c r="P152" s="810"/>
      <c r="Q152" s="609">
        <v>0.1</v>
      </c>
      <c r="R152" s="610">
        <v>779.2</v>
      </c>
      <c r="S152" s="610">
        <v>133</v>
      </c>
      <c r="T152" s="1277" t="s">
        <v>413</v>
      </c>
      <c r="U152" s="608">
        <v>6.188000000000001</v>
      </c>
      <c r="V152" s="506"/>
      <c r="W152" s="506"/>
      <c r="X152" s="608">
        <v>2.8000000000000003</v>
      </c>
      <c r="Y152" s="823" t="s">
        <v>413</v>
      </c>
      <c r="Z152" s="831"/>
      <c r="AA152" s="832"/>
      <c r="AB152" s="802"/>
      <c r="AC152" s="939" t="s">
        <v>413</v>
      </c>
      <c r="AD152" s="826" t="s">
        <v>413</v>
      </c>
      <c r="AE152" s="826"/>
      <c r="AF152" s="802"/>
    </row>
    <row r="153" spans="1:32" ht="14.25">
      <c r="A153" s="987">
        <v>2070</v>
      </c>
      <c r="B153" s="988"/>
      <c r="C153" s="989" t="s">
        <v>536</v>
      </c>
      <c r="D153" s="1021"/>
      <c r="E153" s="1022"/>
      <c r="F153" s="1023"/>
      <c r="G153" s="1024"/>
      <c r="H153" s="1025"/>
      <c r="I153" s="1025"/>
      <c r="J153" s="1026"/>
      <c r="K153" s="1026"/>
      <c r="L153" s="1021"/>
      <c r="M153" s="1026"/>
      <c r="N153" s="1263" t="s">
        <v>413</v>
      </c>
      <c r="O153" s="816" t="s">
        <v>413</v>
      </c>
      <c r="P153" s="809"/>
      <c r="Q153" s="507"/>
      <c r="R153" s="201" t="s">
        <v>413</v>
      </c>
      <c r="S153" s="201"/>
      <c r="T153" s="1276" t="s">
        <v>413</v>
      </c>
      <c r="U153" s="506"/>
      <c r="V153" s="1025"/>
      <c r="W153" s="1025"/>
      <c r="X153" s="506"/>
      <c r="Y153" s="833" t="s">
        <v>413</v>
      </c>
      <c r="Z153" s="820"/>
      <c r="AA153" s="821"/>
      <c r="AB153" s="822"/>
      <c r="AC153" s="938" t="s">
        <v>413</v>
      </c>
      <c r="AD153" s="822" t="s">
        <v>413</v>
      </c>
      <c r="AE153" s="822"/>
      <c r="AF153" s="801">
        <v>2070</v>
      </c>
    </row>
    <row r="154" spans="1:32" ht="14.25">
      <c r="A154" s="496"/>
      <c r="B154" s="761"/>
      <c r="C154" s="496"/>
      <c r="D154" s="508"/>
      <c r="E154" s="504"/>
      <c r="F154" s="509"/>
      <c r="G154" s="496"/>
      <c r="H154" s="506"/>
      <c r="I154" s="506"/>
      <c r="J154" s="764"/>
      <c r="K154" s="495"/>
      <c r="L154" s="496"/>
      <c r="M154" s="780"/>
      <c r="N154" s="500" t="s">
        <v>413</v>
      </c>
      <c r="O154" s="788" t="s">
        <v>413</v>
      </c>
      <c r="P154" s="810"/>
      <c r="Q154" s="603"/>
      <c r="R154" s="605" t="s">
        <v>413</v>
      </c>
      <c r="S154" s="606"/>
      <c r="T154" s="1277" t="s">
        <v>413</v>
      </c>
      <c r="U154" s="604"/>
      <c r="V154" s="506"/>
      <c r="W154" s="506"/>
      <c r="X154" s="604"/>
      <c r="Y154" s="823" t="s">
        <v>413</v>
      </c>
      <c r="Z154" s="831"/>
      <c r="AA154" s="832"/>
      <c r="AB154" s="802"/>
      <c r="AC154" s="939" t="s">
        <v>413</v>
      </c>
      <c r="AD154" s="826" t="s">
        <v>413</v>
      </c>
      <c r="AE154" s="826"/>
      <c r="AF154" s="802"/>
    </row>
    <row r="155" spans="1:32" ht="14.25">
      <c r="A155" s="990">
        <v>2071</v>
      </c>
      <c r="B155" s="991"/>
      <c r="C155" s="991" t="s">
        <v>1506</v>
      </c>
      <c r="D155" s="1034" t="s">
        <v>347</v>
      </c>
      <c r="E155" s="1028">
        <v>14000</v>
      </c>
      <c r="F155" s="1035">
        <v>21</v>
      </c>
      <c r="G155" s="1030"/>
      <c r="H155" s="613">
        <v>18</v>
      </c>
      <c r="I155" s="613">
        <v>25</v>
      </c>
      <c r="J155" s="1031">
        <v>120</v>
      </c>
      <c r="K155" s="1032" t="s">
        <v>347</v>
      </c>
      <c r="L155" s="1251">
        <v>12</v>
      </c>
      <c r="M155" s="1232">
        <v>2000</v>
      </c>
      <c r="N155" s="1264">
        <v>0.1</v>
      </c>
      <c r="O155" s="815">
        <v>1.05</v>
      </c>
      <c r="P155" s="812">
        <v>16</v>
      </c>
      <c r="Q155" s="507"/>
      <c r="R155" s="201" t="s">
        <v>413</v>
      </c>
      <c r="S155" s="206"/>
      <c r="T155" s="1278">
        <v>1398</v>
      </c>
      <c r="U155" s="506"/>
      <c r="V155" s="613">
        <v>7.3500000000000005</v>
      </c>
      <c r="W155" s="613"/>
      <c r="X155" s="506">
        <v>0</v>
      </c>
      <c r="Y155" s="827">
        <v>7.3500000000000005</v>
      </c>
      <c r="Z155" s="828">
        <v>20.900000000000002</v>
      </c>
      <c r="AA155" s="829"/>
      <c r="AB155" s="830"/>
      <c r="AC155" s="940">
        <v>28</v>
      </c>
      <c r="AD155" s="830" t="s">
        <v>483</v>
      </c>
      <c r="AE155" s="830">
        <v>0</v>
      </c>
      <c r="AF155" s="803">
        <v>2071</v>
      </c>
    </row>
    <row r="156" spans="1:32" ht="14.25">
      <c r="A156" s="154">
        <v>2072</v>
      </c>
      <c r="B156" s="992"/>
      <c r="C156" s="992" t="s">
        <v>1507</v>
      </c>
      <c r="D156" s="508" t="s">
        <v>347</v>
      </c>
      <c r="E156" s="504">
        <v>21000</v>
      </c>
      <c r="F156" s="612">
        <v>31</v>
      </c>
      <c r="G156" s="1033"/>
      <c r="H156" s="506">
        <v>27</v>
      </c>
      <c r="I156" s="506">
        <v>38</v>
      </c>
      <c r="J156" s="764">
        <v>120</v>
      </c>
      <c r="K156" s="145" t="s">
        <v>347</v>
      </c>
      <c r="L156" s="492">
        <v>12</v>
      </c>
      <c r="M156" s="780">
        <v>2000</v>
      </c>
      <c r="N156" s="500">
        <v>0.1</v>
      </c>
      <c r="O156" s="788">
        <v>1.05</v>
      </c>
      <c r="P156" s="492">
        <v>21</v>
      </c>
      <c r="Q156" s="609">
        <v>0.0333333</v>
      </c>
      <c r="R156" s="610">
        <v>379.95</v>
      </c>
      <c r="S156" s="610">
        <v>168</v>
      </c>
      <c r="T156" s="1277">
        <v>2079</v>
      </c>
      <c r="U156" s="608">
        <v>6.9768750000000015</v>
      </c>
      <c r="V156" s="506">
        <v>11.025</v>
      </c>
      <c r="W156" s="506"/>
      <c r="X156" s="608">
        <v>0.9333324000000001</v>
      </c>
      <c r="Y156" s="823">
        <v>11.025</v>
      </c>
      <c r="Z156" s="831">
        <v>31.185000000000006</v>
      </c>
      <c r="AA156" s="832"/>
      <c r="AB156" s="826"/>
      <c r="AC156" s="939">
        <v>42</v>
      </c>
      <c r="AD156" s="826" t="s">
        <v>483</v>
      </c>
      <c r="AE156" s="826">
        <v>0</v>
      </c>
      <c r="AF156" s="804">
        <v>2072</v>
      </c>
    </row>
    <row r="157" spans="1:32" ht="14.25">
      <c r="A157" s="990">
        <v>2073</v>
      </c>
      <c r="B157" s="991"/>
      <c r="C157" s="991" t="s">
        <v>1508</v>
      </c>
      <c r="D157" s="1034" t="s">
        <v>347</v>
      </c>
      <c r="E157" s="1028">
        <v>32000</v>
      </c>
      <c r="F157" s="1035">
        <v>37</v>
      </c>
      <c r="G157" s="1030"/>
      <c r="H157" s="613">
        <v>33</v>
      </c>
      <c r="I157" s="613">
        <v>45</v>
      </c>
      <c r="J157" s="1031">
        <v>150</v>
      </c>
      <c r="K157" s="1032" t="s">
        <v>347</v>
      </c>
      <c r="L157" s="1251">
        <v>12</v>
      </c>
      <c r="M157" s="1232">
        <v>2500</v>
      </c>
      <c r="N157" s="1264">
        <v>0.1</v>
      </c>
      <c r="O157" s="815">
        <v>1</v>
      </c>
      <c r="P157" s="812">
        <v>33</v>
      </c>
      <c r="Q157" s="507">
        <v>0.05</v>
      </c>
      <c r="R157" s="201">
        <v>819.5</v>
      </c>
      <c r="S157" s="201">
        <v>168</v>
      </c>
      <c r="T157" s="1278">
        <v>3174</v>
      </c>
      <c r="U157" s="506">
        <v>12.61875</v>
      </c>
      <c r="V157" s="613">
        <v>12.8</v>
      </c>
      <c r="W157" s="613"/>
      <c r="X157" s="506">
        <v>1.4000000000000001</v>
      </c>
      <c r="Y157" s="827">
        <v>12.8</v>
      </c>
      <c r="Z157" s="828">
        <v>37.356</v>
      </c>
      <c r="AA157" s="829"/>
      <c r="AB157" s="830"/>
      <c r="AC157" s="940">
        <v>64</v>
      </c>
      <c r="AD157" s="830" t="s">
        <v>483</v>
      </c>
      <c r="AE157" s="830">
        <v>0</v>
      </c>
      <c r="AF157" s="803">
        <v>2073</v>
      </c>
    </row>
    <row r="158" spans="1:32" ht="14.25">
      <c r="A158" s="154">
        <v>2074</v>
      </c>
      <c r="B158" s="992"/>
      <c r="C158" s="992" t="s">
        <v>1330</v>
      </c>
      <c r="D158" s="508" t="s">
        <v>347</v>
      </c>
      <c r="E158" s="504">
        <v>27000</v>
      </c>
      <c r="F158" s="612">
        <v>40</v>
      </c>
      <c r="G158" s="1033"/>
      <c r="H158" s="506">
        <v>35</v>
      </c>
      <c r="I158" s="506">
        <v>48</v>
      </c>
      <c r="J158" s="764">
        <v>120</v>
      </c>
      <c r="K158" s="145" t="s">
        <v>347</v>
      </c>
      <c r="L158" s="492">
        <v>12</v>
      </c>
      <c r="M158" s="780">
        <v>2000</v>
      </c>
      <c r="N158" s="500">
        <v>0.1</v>
      </c>
      <c r="O158" s="788">
        <v>1.05</v>
      </c>
      <c r="P158" s="492">
        <v>22</v>
      </c>
      <c r="Q158" s="609">
        <v>0.025</v>
      </c>
      <c r="R158" s="610">
        <v>2436</v>
      </c>
      <c r="S158" s="610">
        <v>161</v>
      </c>
      <c r="T158" s="1277">
        <v>2643</v>
      </c>
      <c r="U158" s="608">
        <v>33.1625</v>
      </c>
      <c r="V158" s="506">
        <v>14.175</v>
      </c>
      <c r="W158" s="506"/>
      <c r="X158" s="608">
        <v>0.7000000000000001</v>
      </c>
      <c r="Y158" s="823">
        <v>14.175</v>
      </c>
      <c r="Z158" s="831">
        <v>39.82000000000001</v>
      </c>
      <c r="AA158" s="832"/>
      <c r="AB158" s="826"/>
      <c r="AC158" s="939">
        <v>54</v>
      </c>
      <c r="AD158" s="826" t="s">
        <v>483</v>
      </c>
      <c r="AE158" s="826">
        <v>0</v>
      </c>
      <c r="AF158" s="804">
        <v>2074</v>
      </c>
    </row>
    <row r="159" spans="1:32" ht="14.25">
      <c r="A159" s="990">
        <v>2075</v>
      </c>
      <c r="B159" s="991"/>
      <c r="C159" s="991" t="s">
        <v>537</v>
      </c>
      <c r="D159" s="1034" t="s">
        <v>347</v>
      </c>
      <c r="E159" s="1028">
        <v>53000</v>
      </c>
      <c r="F159" s="1035">
        <v>52</v>
      </c>
      <c r="G159" s="1030"/>
      <c r="H159" s="613">
        <v>45</v>
      </c>
      <c r="I159" s="613">
        <v>65</v>
      </c>
      <c r="J159" s="1031">
        <v>150</v>
      </c>
      <c r="K159" s="1032" t="s">
        <v>347</v>
      </c>
      <c r="L159" s="1251">
        <v>12</v>
      </c>
      <c r="M159" s="1232">
        <v>3000</v>
      </c>
      <c r="N159" s="1264">
        <v>0.1</v>
      </c>
      <c r="O159" s="815">
        <v>0.75</v>
      </c>
      <c r="P159" s="812">
        <v>38</v>
      </c>
      <c r="Q159" s="507"/>
      <c r="R159" s="201" t="s">
        <v>413</v>
      </c>
      <c r="S159" s="201"/>
      <c r="T159" s="1278">
        <v>5157</v>
      </c>
      <c r="U159" s="506"/>
      <c r="V159" s="613">
        <v>13.25</v>
      </c>
      <c r="W159" s="613"/>
      <c r="X159" s="506"/>
      <c r="Y159" s="827">
        <v>13.25</v>
      </c>
      <c r="Z159" s="828">
        <v>52.39300000000001</v>
      </c>
      <c r="AA159" s="829"/>
      <c r="AB159" s="830"/>
      <c r="AC159" s="940">
        <v>106</v>
      </c>
      <c r="AD159" s="830" t="s">
        <v>483</v>
      </c>
      <c r="AE159" s="830">
        <v>0</v>
      </c>
      <c r="AF159" s="803">
        <v>2075</v>
      </c>
    </row>
    <row r="160" spans="1:32" ht="14.25">
      <c r="A160" s="154">
        <v>2076</v>
      </c>
      <c r="B160" s="992"/>
      <c r="C160" s="992" t="s">
        <v>981</v>
      </c>
      <c r="D160" s="510"/>
      <c r="E160" s="504">
        <v>6800</v>
      </c>
      <c r="F160" s="612">
        <v>13</v>
      </c>
      <c r="G160" s="1065"/>
      <c r="H160" s="516">
        <v>11</v>
      </c>
      <c r="I160" s="516">
        <v>16</v>
      </c>
      <c r="J160" s="764">
        <v>100</v>
      </c>
      <c r="K160" s="145" t="s">
        <v>347</v>
      </c>
      <c r="L160" s="492">
        <v>10</v>
      </c>
      <c r="M160" s="780">
        <v>1500</v>
      </c>
      <c r="N160" s="500">
        <v>0.1</v>
      </c>
      <c r="O160" s="788">
        <v>0.8</v>
      </c>
      <c r="P160" s="492">
        <v>17</v>
      </c>
      <c r="Q160" s="603"/>
      <c r="R160" s="605" t="s">
        <v>413</v>
      </c>
      <c r="S160" s="606"/>
      <c r="T160" s="1277">
        <v>836.4</v>
      </c>
      <c r="U160" s="604"/>
      <c r="V160" s="506">
        <v>3.626666666666667</v>
      </c>
      <c r="W160" s="506"/>
      <c r="X160" s="604"/>
      <c r="Y160" s="823">
        <v>3.626666666666667</v>
      </c>
      <c r="Z160" s="831">
        <v>13.189733333333333</v>
      </c>
      <c r="AA160" s="861"/>
      <c r="AB160" s="826"/>
      <c r="AC160" s="939">
        <v>13.6</v>
      </c>
      <c r="AD160" s="826" t="s">
        <v>483</v>
      </c>
      <c r="AE160" s="826">
        <v>0</v>
      </c>
      <c r="AF160" s="804">
        <v>2076</v>
      </c>
    </row>
    <row r="161" spans="1:32" ht="14.25">
      <c r="A161" s="990">
        <v>2077</v>
      </c>
      <c r="B161" s="991"/>
      <c r="C161" s="991" t="s">
        <v>1386</v>
      </c>
      <c r="D161" s="1040"/>
      <c r="E161" s="1028">
        <v>26000</v>
      </c>
      <c r="F161" s="1035">
        <v>30</v>
      </c>
      <c r="G161" s="1066"/>
      <c r="H161" s="613">
        <v>25</v>
      </c>
      <c r="I161" s="613">
        <v>38</v>
      </c>
      <c r="J161" s="1031">
        <v>100</v>
      </c>
      <c r="K161" s="1032" t="s">
        <v>347</v>
      </c>
      <c r="L161" s="1251">
        <v>12</v>
      </c>
      <c r="M161" s="1232">
        <v>4000</v>
      </c>
      <c r="N161" s="1264">
        <v>0.25</v>
      </c>
      <c r="O161" s="815">
        <v>0.7</v>
      </c>
      <c r="P161" s="812">
        <v>20</v>
      </c>
      <c r="Q161" s="507"/>
      <c r="R161" s="201" t="s">
        <v>413</v>
      </c>
      <c r="S161" s="201"/>
      <c r="T161" s="1278">
        <v>2252</v>
      </c>
      <c r="U161" s="506"/>
      <c r="V161" s="613">
        <v>4.55</v>
      </c>
      <c r="W161" s="613"/>
      <c r="X161" s="506"/>
      <c r="Y161" s="827">
        <v>4.55</v>
      </c>
      <c r="Z161" s="828">
        <v>29.777</v>
      </c>
      <c r="AA161" s="838"/>
      <c r="AB161" s="830"/>
      <c r="AC161" s="940">
        <v>52</v>
      </c>
      <c r="AD161" s="830" t="s">
        <v>483</v>
      </c>
      <c r="AE161" s="830">
        <v>0</v>
      </c>
      <c r="AF161" s="803">
        <v>2077</v>
      </c>
    </row>
    <row r="162" spans="1:32" ht="28.5">
      <c r="A162" s="154">
        <v>2078</v>
      </c>
      <c r="B162" s="992"/>
      <c r="C162" s="992" t="s">
        <v>1331</v>
      </c>
      <c r="D162" s="508"/>
      <c r="E162" s="504">
        <v>2200</v>
      </c>
      <c r="F162" s="612">
        <v>19</v>
      </c>
      <c r="G162" s="1033"/>
      <c r="H162" s="516">
        <v>15</v>
      </c>
      <c r="I162" s="506">
        <v>25</v>
      </c>
      <c r="J162" s="764">
        <v>50</v>
      </c>
      <c r="K162" s="145" t="s">
        <v>347</v>
      </c>
      <c r="L162" s="492">
        <v>3</v>
      </c>
      <c r="M162" s="780">
        <v>200</v>
      </c>
      <c r="N162" s="500">
        <v>0</v>
      </c>
      <c r="O162" s="788">
        <v>0.15</v>
      </c>
      <c r="P162" s="492">
        <v>1</v>
      </c>
      <c r="Q162" s="609">
        <v>0.02</v>
      </c>
      <c r="R162" s="610">
        <v>1461</v>
      </c>
      <c r="S162" s="610">
        <v>112</v>
      </c>
      <c r="T162" s="1277">
        <v>776.7333333333333</v>
      </c>
      <c r="U162" s="608">
        <v>13.358333333333333</v>
      </c>
      <c r="V162" s="506">
        <v>1.65</v>
      </c>
      <c r="W162" s="506"/>
      <c r="X162" s="608">
        <v>0.56</v>
      </c>
      <c r="Y162" s="823">
        <v>1.65</v>
      </c>
      <c r="Z162" s="831">
        <v>18.903133333333333</v>
      </c>
      <c r="AA162" s="832"/>
      <c r="AB162" s="826"/>
      <c r="AC162" s="939">
        <v>4.4</v>
      </c>
      <c r="AD162" s="826" t="s">
        <v>483</v>
      </c>
      <c r="AE162" s="826">
        <v>0</v>
      </c>
      <c r="AF162" s="804">
        <v>2078</v>
      </c>
    </row>
    <row r="163" spans="1:32" ht="28.5">
      <c r="A163" s="990">
        <v>2079</v>
      </c>
      <c r="B163" s="991"/>
      <c r="C163" s="991" t="s">
        <v>1332</v>
      </c>
      <c r="D163" s="1034" t="s">
        <v>347</v>
      </c>
      <c r="E163" s="1028">
        <v>3500</v>
      </c>
      <c r="F163" s="1035">
        <v>22</v>
      </c>
      <c r="G163" s="1030"/>
      <c r="H163" s="613">
        <v>18</v>
      </c>
      <c r="I163" s="613">
        <v>29</v>
      </c>
      <c r="J163" s="1031">
        <v>50</v>
      </c>
      <c r="K163" s="1032" t="s">
        <v>347</v>
      </c>
      <c r="L163" s="1251">
        <v>4</v>
      </c>
      <c r="M163" s="1232">
        <v>300</v>
      </c>
      <c r="N163" s="1264">
        <v>0</v>
      </c>
      <c r="O163" s="815">
        <v>0.1</v>
      </c>
      <c r="P163" s="812">
        <v>1</v>
      </c>
      <c r="Q163" s="507">
        <v>0.02</v>
      </c>
      <c r="R163" s="201">
        <v>2240.2</v>
      </c>
      <c r="S163" s="201">
        <v>147</v>
      </c>
      <c r="T163" s="1278">
        <v>940.5</v>
      </c>
      <c r="U163" s="506">
        <v>20.276666666666664</v>
      </c>
      <c r="V163" s="613">
        <v>1.1666666666666667</v>
      </c>
      <c r="W163" s="613"/>
      <c r="X163" s="506">
        <v>0.56</v>
      </c>
      <c r="Y163" s="827">
        <v>1.1666666666666667</v>
      </c>
      <c r="Z163" s="828">
        <v>21.974333333333334</v>
      </c>
      <c r="AA163" s="829"/>
      <c r="AB163" s="830"/>
      <c r="AC163" s="940">
        <v>7</v>
      </c>
      <c r="AD163" s="830" t="s">
        <v>483</v>
      </c>
      <c r="AE163" s="830">
        <v>0</v>
      </c>
      <c r="AF163" s="803">
        <v>2079</v>
      </c>
    </row>
    <row r="164" spans="1:32" ht="14.25">
      <c r="A164" s="154"/>
      <c r="B164" s="992"/>
      <c r="C164" s="154"/>
      <c r="D164" s="204"/>
      <c r="E164" s="504"/>
      <c r="F164" s="509"/>
      <c r="G164" s="1033"/>
      <c r="H164" s="506"/>
      <c r="I164" s="506"/>
      <c r="J164" s="764"/>
      <c r="L164" s="492"/>
      <c r="M164" s="780"/>
      <c r="N164" s="500" t="s">
        <v>413</v>
      </c>
      <c r="O164" s="788" t="s">
        <v>413</v>
      </c>
      <c r="P164" s="492"/>
      <c r="Q164" s="609">
        <v>0.02</v>
      </c>
      <c r="R164" s="610">
        <v>3603.8</v>
      </c>
      <c r="S164" s="610">
        <v>231</v>
      </c>
      <c r="T164" s="1277" t="s">
        <v>413</v>
      </c>
      <c r="U164" s="608">
        <v>26.058666666666667</v>
      </c>
      <c r="V164" s="506"/>
      <c r="W164" s="506"/>
      <c r="X164" s="608">
        <v>0.56</v>
      </c>
      <c r="Y164" s="823" t="s">
        <v>413</v>
      </c>
      <c r="Z164" s="831"/>
      <c r="AA164" s="839"/>
      <c r="AB164" s="826"/>
      <c r="AC164" s="939" t="s">
        <v>413</v>
      </c>
      <c r="AD164" s="826" t="s">
        <v>413</v>
      </c>
      <c r="AE164" s="826"/>
      <c r="AF164" s="804"/>
    </row>
    <row r="165" spans="1:32" ht="28.5">
      <c r="A165" s="987">
        <v>2100</v>
      </c>
      <c r="B165" s="988"/>
      <c r="C165" s="989" t="s">
        <v>538</v>
      </c>
      <c r="D165" s="1021"/>
      <c r="E165" s="1022"/>
      <c r="F165" s="1023"/>
      <c r="G165" s="1024"/>
      <c r="H165" s="1025"/>
      <c r="I165" s="1025"/>
      <c r="J165" s="1026"/>
      <c r="K165" s="1026"/>
      <c r="L165" s="1021"/>
      <c r="M165" s="1026"/>
      <c r="N165" s="1263" t="s">
        <v>413</v>
      </c>
      <c r="O165" s="816" t="s">
        <v>413</v>
      </c>
      <c r="P165" s="809"/>
      <c r="Q165" s="507">
        <v>0.04</v>
      </c>
      <c r="R165" s="201">
        <v>2435</v>
      </c>
      <c r="S165" s="201">
        <v>154</v>
      </c>
      <c r="T165" s="1276" t="s">
        <v>413</v>
      </c>
      <c r="U165" s="506">
        <v>21.991666666666667</v>
      </c>
      <c r="V165" s="1025"/>
      <c r="W165" s="1025"/>
      <c r="X165" s="506">
        <v>1.12</v>
      </c>
      <c r="Y165" s="833" t="s">
        <v>413</v>
      </c>
      <c r="Z165" s="820"/>
      <c r="AA165" s="821"/>
      <c r="AB165" s="822"/>
      <c r="AC165" s="938" t="s">
        <v>413</v>
      </c>
      <c r="AD165" s="822" t="s">
        <v>413</v>
      </c>
      <c r="AE165" s="822"/>
      <c r="AF165" s="801">
        <v>2100</v>
      </c>
    </row>
    <row r="166" spans="1:32" ht="14.25">
      <c r="A166" s="496"/>
      <c r="B166" s="761"/>
      <c r="C166" s="496"/>
      <c r="D166" s="508"/>
      <c r="E166" s="504"/>
      <c r="F166" s="509"/>
      <c r="G166" s="496"/>
      <c r="H166" s="506"/>
      <c r="I166" s="506"/>
      <c r="J166" s="764"/>
      <c r="K166" s="495"/>
      <c r="L166" s="496"/>
      <c r="M166" s="764"/>
      <c r="N166" s="500" t="s">
        <v>413</v>
      </c>
      <c r="O166" s="788" t="s">
        <v>413</v>
      </c>
      <c r="P166" s="810"/>
      <c r="Q166" s="609">
        <v>0.04</v>
      </c>
      <c r="R166" s="610">
        <v>6233.6</v>
      </c>
      <c r="S166" s="610">
        <v>266</v>
      </c>
      <c r="T166" s="1277" t="s">
        <v>413</v>
      </c>
      <c r="U166" s="608">
        <v>44.184000000000005</v>
      </c>
      <c r="V166" s="506"/>
      <c r="W166" s="506"/>
      <c r="X166" s="608">
        <v>1.12</v>
      </c>
      <c r="Y166" s="823" t="s">
        <v>413</v>
      </c>
      <c r="Z166" s="831"/>
      <c r="AA166" s="832"/>
      <c r="AB166" s="802"/>
      <c r="AC166" s="939" t="s">
        <v>413</v>
      </c>
      <c r="AD166" s="826" t="s">
        <v>413</v>
      </c>
      <c r="AE166" s="826"/>
      <c r="AF166" s="802"/>
    </row>
    <row r="167" spans="1:32" ht="14.25">
      <c r="A167" s="990">
        <v>2101</v>
      </c>
      <c r="B167" s="991"/>
      <c r="C167" s="991" t="s">
        <v>539</v>
      </c>
      <c r="D167" s="1040">
        <v>50</v>
      </c>
      <c r="E167" s="1028">
        <v>4000</v>
      </c>
      <c r="F167" s="1041">
        <v>16.5</v>
      </c>
      <c r="G167" s="1067">
        <v>33</v>
      </c>
      <c r="H167" s="620">
        <v>30</v>
      </c>
      <c r="I167" s="620">
        <v>38</v>
      </c>
      <c r="J167" s="1043">
        <v>30</v>
      </c>
      <c r="K167" s="1032" t="s">
        <v>347</v>
      </c>
      <c r="L167" s="1251">
        <v>12</v>
      </c>
      <c r="M167" s="1252">
        <v>1000</v>
      </c>
      <c r="N167" s="1264">
        <v>0.25</v>
      </c>
      <c r="O167" s="815">
        <v>4.5</v>
      </c>
      <c r="P167" s="812">
        <v>6</v>
      </c>
      <c r="Q167" s="507">
        <v>0.05</v>
      </c>
      <c r="R167" s="201">
        <v>854.24</v>
      </c>
      <c r="S167" s="206">
        <v>119</v>
      </c>
      <c r="T167" s="1278">
        <v>364</v>
      </c>
      <c r="U167" s="506">
        <v>9.884400000000001</v>
      </c>
      <c r="V167" s="620">
        <v>18</v>
      </c>
      <c r="W167" s="613"/>
      <c r="X167" s="506">
        <v>1.4000000000000001</v>
      </c>
      <c r="Y167" s="846">
        <v>18</v>
      </c>
      <c r="Z167" s="828">
        <v>16.573333333333334</v>
      </c>
      <c r="AA167" s="838">
        <v>33.14666666666667</v>
      </c>
      <c r="AB167" s="830"/>
      <c r="AC167" s="940">
        <v>8</v>
      </c>
      <c r="AD167" s="830" t="s">
        <v>484</v>
      </c>
      <c r="AE167" s="830">
        <v>0</v>
      </c>
      <c r="AF167" s="803">
        <v>2101</v>
      </c>
    </row>
    <row r="168" spans="1:32" ht="28.5">
      <c r="A168" s="154">
        <v>2102</v>
      </c>
      <c r="B168" s="992"/>
      <c r="C168" s="992" t="s">
        <v>982</v>
      </c>
      <c r="D168" s="510">
        <v>80</v>
      </c>
      <c r="E168" s="504">
        <v>7500</v>
      </c>
      <c r="F168" s="509">
        <v>21.5</v>
      </c>
      <c r="G168" s="1068">
        <v>27</v>
      </c>
      <c r="H168" s="522">
        <v>24</v>
      </c>
      <c r="I168" s="511">
        <v>32</v>
      </c>
      <c r="J168" s="766">
        <v>50</v>
      </c>
      <c r="K168" s="145" t="s">
        <v>347</v>
      </c>
      <c r="L168" s="492">
        <v>12</v>
      </c>
      <c r="M168" s="782">
        <v>1500</v>
      </c>
      <c r="N168" s="500">
        <v>0.25</v>
      </c>
      <c r="O168" s="788">
        <v>2.2</v>
      </c>
      <c r="P168" s="492">
        <v>9</v>
      </c>
      <c r="Q168" s="609">
        <v>0.05</v>
      </c>
      <c r="R168" s="610">
        <v>2349</v>
      </c>
      <c r="S168" s="628">
        <v>140</v>
      </c>
      <c r="T168" s="1277">
        <v>669</v>
      </c>
      <c r="U168" s="608">
        <v>25.43</v>
      </c>
      <c r="V168" s="511">
        <v>11</v>
      </c>
      <c r="W168" s="506"/>
      <c r="X168" s="608">
        <v>1.4000000000000001</v>
      </c>
      <c r="Y168" s="848">
        <v>11</v>
      </c>
      <c r="Z168" s="831">
        <v>21.454400000000007</v>
      </c>
      <c r="AA168" s="861">
        <v>26.818000000000005</v>
      </c>
      <c r="AB168" s="826"/>
      <c r="AC168" s="939">
        <v>15</v>
      </c>
      <c r="AD168" s="826" t="s">
        <v>484</v>
      </c>
      <c r="AE168" s="826">
        <v>0</v>
      </c>
      <c r="AF168" s="804">
        <v>2102</v>
      </c>
    </row>
    <row r="169" spans="1:32" ht="14.25">
      <c r="A169" s="990">
        <v>2104</v>
      </c>
      <c r="B169" s="991"/>
      <c r="C169" s="991" t="s">
        <v>540</v>
      </c>
      <c r="D169" s="1040">
        <v>30</v>
      </c>
      <c r="E169" s="1028">
        <v>1350</v>
      </c>
      <c r="F169" s="1041">
        <v>6.6</v>
      </c>
      <c r="G169" s="1067">
        <v>22</v>
      </c>
      <c r="H169" s="620">
        <v>20</v>
      </c>
      <c r="I169" s="620">
        <v>25</v>
      </c>
      <c r="J169" s="1043">
        <v>15</v>
      </c>
      <c r="K169" s="1032" t="s">
        <v>347</v>
      </c>
      <c r="L169" s="1251">
        <v>12</v>
      </c>
      <c r="M169" s="1043">
        <v>400</v>
      </c>
      <c r="N169" s="1264">
        <v>0.25</v>
      </c>
      <c r="O169" s="815">
        <v>3.15</v>
      </c>
      <c r="P169" s="812">
        <v>5</v>
      </c>
      <c r="Q169" s="629">
        <v>0.02</v>
      </c>
      <c r="R169" s="619">
        <v>1452.7666666666667</v>
      </c>
      <c r="S169" s="619">
        <v>7</v>
      </c>
      <c r="T169" s="1278">
        <v>140.7</v>
      </c>
      <c r="U169" s="617">
        <v>29.359333333333336</v>
      </c>
      <c r="V169" s="620">
        <v>10.63125</v>
      </c>
      <c r="W169" s="613"/>
      <c r="X169" s="617">
        <v>0.56</v>
      </c>
      <c r="Y169" s="846">
        <v>10.63125</v>
      </c>
      <c r="Z169" s="828">
        <v>6.603712499999999</v>
      </c>
      <c r="AA169" s="838">
        <v>22.012375</v>
      </c>
      <c r="AB169" s="830"/>
      <c r="AC169" s="940">
        <v>2.7</v>
      </c>
      <c r="AD169" s="830" t="s">
        <v>484</v>
      </c>
      <c r="AE169" s="830">
        <v>0</v>
      </c>
      <c r="AF169" s="803">
        <v>2104</v>
      </c>
    </row>
    <row r="170" spans="1:32" ht="14.25">
      <c r="A170" s="154">
        <v>2106</v>
      </c>
      <c r="B170" s="992"/>
      <c r="C170" s="992" t="s">
        <v>541</v>
      </c>
      <c r="D170" s="510">
        <v>50</v>
      </c>
      <c r="E170" s="504">
        <v>6600</v>
      </c>
      <c r="F170" s="509">
        <v>16</v>
      </c>
      <c r="G170" s="1068">
        <v>32</v>
      </c>
      <c r="H170" s="511">
        <v>28</v>
      </c>
      <c r="I170" s="511">
        <v>38</v>
      </c>
      <c r="J170" s="766">
        <v>35</v>
      </c>
      <c r="K170" s="145" t="s">
        <v>347</v>
      </c>
      <c r="L170" s="492">
        <v>12</v>
      </c>
      <c r="M170" s="766">
        <v>800</v>
      </c>
      <c r="N170" s="500">
        <v>0.25</v>
      </c>
      <c r="O170" s="788">
        <v>1.3</v>
      </c>
      <c r="P170" s="492">
        <v>15</v>
      </c>
      <c r="Q170" s="630">
        <v>0.02</v>
      </c>
      <c r="R170" s="610">
        <v>1463.4</v>
      </c>
      <c r="S170" s="610">
        <v>7</v>
      </c>
      <c r="T170" s="1277">
        <v>631.2</v>
      </c>
      <c r="U170" s="608">
        <v>29.624000000000002</v>
      </c>
      <c r="V170" s="511">
        <v>10.725</v>
      </c>
      <c r="W170" s="506"/>
      <c r="X170" s="608">
        <v>0.56</v>
      </c>
      <c r="Y170" s="848">
        <v>10.725</v>
      </c>
      <c r="Z170" s="831">
        <v>15.817607142857145</v>
      </c>
      <c r="AA170" s="861">
        <v>31.63521428571429</v>
      </c>
      <c r="AB170" s="826"/>
      <c r="AC170" s="939">
        <v>13.200000000000001</v>
      </c>
      <c r="AD170" s="826" t="s">
        <v>484</v>
      </c>
      <c r="AE170" s="826">
        <v>0</v>
      </c>
      <c r="AF170" s="804">
        <v>2106</v>
      </c>
    </row>
    <row r="171" spans="1:32" ht="14.25">
      <c r="A171" s="990">
        <v>2114</v>
      </c>
      <c r="B171" s="991"/>
      <c r="C171" s="991" t="s">
        <v>1333</v>
      </c>
      <c r="D171" s="1040">
        <v>60</v>
      </c>
      <c r="E171" s="1028">
        <v>9600</v>
      </c>
      <c r="F171" s="1041">
        <v>18.5</v>
      </c>
      <c r="G171" s="1067">
        <v>31</v>
      </c>
      <c r="H171" s="620">
        <v>27</v>
      </c>
      <c r="I171" s="620">
        <v>38</v>
      </c>
      <c r="J171" s="1043">
        <v>50</v>
      </c>
      <c r="K171" s="1032" t="s">
        <v>347</v>
      </c>
      <c r="L171" s="1251">
        <v>12</v>
      </c>
      <c r="M171" s="1043">
        <v>1200</v>
      </c>
      <c r="N171" s="1264">
        <v>0.25</v>
      </c>
      <c r="O171" s="815">
        <v>1.35</v>
      </c>
      <c r="P171" s="812">
        <v>15</v>
      </c>
      <c r="Q171" s="507"/>
      <c r="R171" s="201" t="s">
        <v>413</v>
      </c>
      <c r="S171" s="201"/>
      <c r="T171" s="1278">
        <v>877.2</v>
      </c>
      <c r="U171" s="506"/>
      <c r="V171" s="620">
        <v>10.8</v>
      </c>
      <c r="W171" s="613"/>
      <c r="X171" s="506"/>
      <c r="Y171" s="846">
        <v>10.8</v>
      </c>
      <c r="Z171" s="828">
        <v>18.707040000000003</v>
      </c>
      <c r="AA171" s="838">
        <v>31.178400000000003</v>
      </c>
      <c r="AB171" s="830"/>
      <c r="AC171" s="940">
        <v>19.2</v>
      </c>
      <c r="AD171" s="830" t="s">
        <v>484</v>
      </c>
      <c r="AE171" s="830">
        <v>0</v>
      </c>
      <c r="AF171" s="803">
        <v>2114</v>
      </c>
    </row>
    <row r="172" spans="1:32" ht="14.25">
      <c r="A172" s="154">
        <v>2107</v>
      </c>
      <c r="B172" s="992"/>
      <c r="C172" s="992" t="s">
        <v>542</v>
      </c>
      <c r="D172" s="510"/>
      <c r="E172" s="504">
        <v>3800</v>
      </c>
      <c r="F172" s="509"/>
      <c r="G172" s="1068">
        <v>30</v>
      </c>
      <c r="H172" s="511">
        <v>26</v>
      </c>
      <c r="I172" s="511">
        <v>36</v>
      </c>
      <c r="J172" s="766">
        <v>20</v>
      </c>
      <c r="K172" s="145" t="s">
        <v>347</v>
      </c>
      <c r="L172" s="492">
        <v>12</v>
      </c>
      <c r="M172" s="766">
        <v>600</v>
      </c>
      <c r="N172" s="500">
        <v>0.25</v>
      </c>
      <c r="O172" s="788">
        <v>1.4</v>
      </c>
      <c r="P172" s="492">
        <v>8</v>
      </c>
      <c r="Q172" s="603"/>
      <c r="R172" s="605" t="s">
        <v>413</v>
      </c>
      <c r="S172" s="606"/>
      <c r="T172" s="1277">
        <v>359.6</v>
      </c>
      <c r="U172" s="604"/>
      <c r="V172" s="511">
        <v>8.866666666666665</v>
      </c>
      <c r="W172" s="506"/>
      <c r="X172" s="604"/>
      <c r="Y172" s="848">
        <v>8.866666666666665</v>
      </c>
      <c r="Z172" s="831"/>
      <c r="AA172" s="861">
        <v>29.531333333333333</v>
      </c>
      <c r="AB172" s="826"/>
      <c r="AC172" s="939">
        <v>7.6000000000000005</v>
      </c>
      <c r="AD172" s="826" t="s">
        <v>484</v>
      </c>
      <c r="AE172" s="826">
        <v>0</v>
      </c>
      <c r="AF172" s="804">
        <v>2107</v>
      </c>
    </row>
    <row r="173" spans="1:32" ht="14.25">
      <c r="A173" s="990">
        <v>2108</v>
      </c>
      <c r="B173" s="991"/>
      <c r="C173" s="991" t="s">
        <v>543</v>
      </c>
      <c r="D173" s="1034" t="s">
        <v>347</v>
      </c>
      <c r="E173" s="1028">
        <v>3000</v>
      </c>
      <c r="F173" s="1035">
        <v>5.2</v>
      </c>
      <c r="G173" s="1030"/>
      <c r="H173" s="613">
        <v>4.5</v>
      </c>
      <c r="I173" s="613">
        <v>6.4</v>
      </c>
      <c r="J173" s="1031">
        <v>100</v>
      </c>
      <c r="K173" s="1032" t="s">
        <v>347</v>
      </c>
      <c r="L173" s="1251">
        <v>12</v>
      </c>
      <c r="M173" s="1232">
        <v>4000</v>
      </c>
      <c r="N173" s="1264">
        <v>0.25</v>
      </c>
      <c r="O173" s="815">
        <v>1.9</v>
      </c>
      <c r="P173" s="812">
        <v>14</v>
      </c>
      <c r="Q173" s="507"/>
      <c r="R173" s="201" t="s">
        <v>413</v>
      </c>
      <c r="S173" s="206"/>
      <c r="T173" s="1278">
        <v>330</v>
      </c>
      <c r="U173" s="506"/>
      <c r="V173" s="613">
        <v>1.4249999999999998</v>
      </c>
      <c r="W173" s="613"/>
      <c r="X173" s="506"/>
      <c r="Y173" s="827">
        <v>1.4249999999999998</v>
      </c>
      <c r="Z173" s="828">
        <v>5.1975</v>
      </c>
      <c r="AA173" s="829"/>
      <c r="AB173" s="830"/>
      <c r="AC173" s="940">
        <v>6</v>
      </c>
      <c r="AD173" s="830" t="s">
        <v>483</v>
      </c>
      <c r="AE173" s="830">
        <v>0</v>
      </c>
      <c r="AF173" s="803">
        <v>2108</v>
      </c>
    </row>
    <row r="174" spans="1:32" ht="14.25">
      <c r="A174" s="154">
        <v>2110</v>
      </c>
      <c r="B174" s="992"/>
      <c r="C174" s="992" t="s">
        <v>1207</v>
      </c>
      <c r="D174" s="510" t="s">
        <v>347</v>
      </c>
      <c r="E174" s="504">
        <v>2300</v>
      </c>
      <c r="F174" s="509"/>
      <c r="G174" s="1068">
        <v>85</v>
      </c>
      <c r="H174" s="506">
        <v>76</v>
      </c>
      <c r="I174" s="506">
        <v>100</v>
      </c>
      <c r="J174" s="766">
        <v>5</v>
      </c>
      <c r="K174" s="145" t="s">
        <v>347</v>
      </c>
      <c r="L174" s="492">
        <v>15</v>
      </c>
      <c r="M174" s="766">
        <v>150</v>
      </c>
      <c r="N174" s="500">
        <v>0.25</v>
      </c>
      <c r="O174" s="788">
        <v>2.4</v>
      </c>
      <c r="P174" s="492">
        <v>7</v>
      </c>
      <c r="Q174" s="609">
        <v>0.5</v>
      </c>
      <c r="R174" s="610">
        <v>354.7333333333333</v>
      </c>
      <c r="S174" s="610">
        <v>42</v>
      </c>
      <c r="T174" s="1277">
        <v>201.85</v>
      </c>
      <c r="U174" s="620">
        <v>13.45111111111111</v>
      </c>
      <c r="V174" s="511">
        <v>36.8</v>
      </c>
      <c r="W174" s="506"/>
      <c r="X174" s="620">
        <v>14</v>
      </c>
      <c r="Y174" s="848">
        <v>36.8</v>
      </c>
      <c r="Z174" s="831"/>
      <c r="AA174" s="861">
        <v>84.88699999999999</v>
      </c>
      <c r="AB174" s="826"/>
      <c r="AC174" s="939">
        <v>4.6000000000000005</v>
      </c>
      <c r="AD174" s="826" t="s">
        <v>484</v>
      </c>
      <c r="AE174" s="826">
        <v>0</v>
      </c>
      <c r="AF174" s="804">
        <v>2110</v>
      </c>
    </row>
    <row r="175" spans="1:32" ht="14.25">
      <c r="A175" s="994">
        <v>2115</v>
      </c>
      <c r="B175" s="1000"/>
      <c r="C175" s="1000" t="s">
        <v>1334</v>
      </c>
      <c r="D175" s="1069" t="s">
        <v>347</v>
      </c>
      <c r="E175" s="1070">
        <v>5400</v>
      </c>
      <c r="F175" s="1071">
        <v>11</v>
      </c>
      <c r="G175" s="1072"/>
      <c r="H175" s="1073">
        <v>9.9</v>
      </c>
      <c r="I175" s="1073">
        <v>13.5</v>
      </c>
      <c r="J175" s="1074">
        <v>80</v>
      </c>
      <c r="K175" s="1075" t="s">
        <v>347</v>
      </c>
      <c r="L175" s="1254">
        <v>12</v>
      </c>
      <c r="M175" s="1255">
        <v>2000</v>
      </c>
      <c r="N175" s="1266">
        <v>0.25</v>
      </c>
      <c r="O175" s="815">
        <v>1.5</v>
      </c>
      <c r="P175" s="812">
        <v>8</v>
      </c>
      <c r="Q175" s="618">
        <v>0.25</v>
      </c>
      <c r="R175" s="619">
        <v>1095.5</v>
      </c>
      <c r="S175" s="619">
        <v>63</v>
      </c>
      <c r="T175" s="1281">
        <v>490.8</v>
      </c>
      <c r="U175" s="631">
        <v>23.59</v>
      </c>
      <c r="V175" s="1073">
        <v>4.050000000000001</v>
      </c>
      <c r="W175" s="1073"/>
      <c r="X175" s="631">
        <v>7</v>
      </c>
      <c r="Y175" s="827">
        <v>4.050000000000001</v>
      </c>
      <c r="Z175" s="828">
        <v>11.203500000000002</v>
      </c>
      <c r="AA175" s="829"/>
      <c r="AB175" s="830"/>
      <c r="AC175" s="940">
        <v>10.8</v>
      </c>
      <c r="AD175" s="830" t="s">
        <v>483</v>
      </c>
      <c r="AE175" s="830">
        <v>0</v>
      </c>
      <c r="AF175" s="803">
        <v>2115</v>
      </c>
    </row>
    <row r="176" spans="1:32" ht="14.25">
      <c r="A176" s="154">
        <v>2111</v>
      </c>
      <c r="B176" s="992"/>
      <c r="C176" s="992" t="s">
        <v>544</v>
      </c>
      <c r="D176" s="508" t="s">
        <v>347</v>
      </c>
      <c r="E176" s="504">
        <v>1600</v>
      </c>
      <c r="F176" s="612">
        <v>7</v>
      </c>
      <c r="G176" s="1033"/>
      <c r="H176" s="506">
        <v>6.2</v>
      </c>
      <c r="I176" s="506">
        <v>8.7</v>
      </c>
      <c r="J176" s="764">
        <v>40</v>
      </c>
      <c r="K176" s="145" t="s">
        <v>347</v>
      </c>
      <c r="L176" s="492">
        <v>12</v>
      </c>
      <c r="M176" s="780">
        <v>1000</v>
      </c>
      <c r="N176" s="500">
        <v>0.25</v>
      </c>
      <c r="O176" s="788">
        <v>1.35</v>
      </c>
      <c r="P176" s="492">
        <v>7</v>
      </c>
      <c r="Q176" s="609">
        <v>0.2</v>
      </c>
      <c r="R176" s="610">
        <v>151.28333333333333</v>
      </c>
      <c r="S176" s="610">
        <v>35</v>
      </c>
      <c r="T176" s="1277">
        <v>173.2</v>
      </c>
      <c r="U176" s="620">
        <v>12.612222222222222</v>
      </c>
      <c r="V176" s="506">
        <v>2.16</v>
      </c>
      <c r="W176" s="506"/>
      <c r="X176" s="620">
        <v>5.6000000000000005</v>
      </c>
      <c r="Y176" s="823">
        <v>2.16</v>
      </c>
      <c r="Z176" s="831">
        <v>7.139000000000001</v>
      </c>
      <c r="AA176" s="832"/>
      <c r="AB176" s="826"/>
      <c r="AC176" s="939">
        <v>3.2</v>
      </c>
      <c r="AD176" s="826" t="s">
        <v>483</v>
      </c>
      <c r="AE176" s="826">
        <v>0</v>
      </c>
      <c r="AF176" s="804">
        <v>2111</v>
      </c>
    </row>
    <row r="177" spans="1:32" ht="14.25">
      <c r="A177" s="990">
        <v>2112</v>
      </c>
      <c r="B177" s="991"/>
      <c r="C177" s="991" t="s">
        <v>1208</v>
      </c>
      <c r="D177" s="1034" t="s">
        <v>347</v>
      </c>
      <c r="E177" s="1028">
        <v>3900</v>
      </c>
      <c r="F177" s="1035">
        <v>9.9</v>
      </c>
      <c r="G177" s="1030"/>
      <c r="H177" s="613">
        <v>8.7</v>
      </c>
      <c r="I177" s="613">
        <v>12.1</v>
      </c>
      <c r="J177" s="1031">
        <v>60</v>
      </c>
      <c r="K177" s="1032" t="s">
        <v>347</v>
      </c>
      <c r="L177" s="1251">
        <v>12</v>
      </c>
      <c r="M177" s="1232">
        <v>2000</v>
      </c>
      <c r="N177" s="1264">
        <v>0.25</v>
      </c>
      <c r="O177" s="815">
        <v>1.7</v>
      </c>
      <c r="P177" s="812">
        <v>4</v>
      </c>
      <c r="Q177" s="507">
        <v>0.2</v>
      </c>
      <c r="R177" s="201">
        <v>156.5</v>
      </c>
      <c r="S177" s="201">
        <v>35</v>
      </c>
      <c r="T177" s="1278">
        <v>343.8</v>
      </c>
      <c r="U177" s="511">
        <v>12.966666666666667</v>
      </c>
      <c r="V177" s="613">
        <v>3.315</v>
      </c>
      <c r="W177" s="613"/>
      <c r="X177" s="511">
        <v>5.6000000000000005</v>
      </c>
      <c r="Y177" s="827">
        <v>3.315</v>
      </c>
      <c r="Z177" s="828">
        <v>9.9495</v>
      </c>
      <c r="AA177" s="829"/>
      <c r="AB177" s="830"/>
      <c r="AC177" s="940">
        <v>7.8</v>
      </c>
      <c r="AD177" s="830" t="s">
        <v>483</v>
      </c>
      <c r="AE177" s="830">
        <v>0</v>
      </c>
      <c r="AF177" s="803">
        <v>2112</v>
      </c>
    </row>
    <row r="178" spans="1:32" ht="14.25">
      <c r="A178" s="154">
        <v>2113</v>
      </c>
      <c r="B178" s="992"/>
      <c r="C178" s="992" t="s">
        <v>545</v>
      </c>
      <c r="D178" s="508" t="s">
        <v>347</v>
      </c>
      <c r="E178" s="504">
        <v>6700</v>
      </c>
      <c r="F178" s="612">
        <v>12.5</v>
      </c>
      <c r="G178" s="1033"/>
      <c r="H178" s="506">
        <v>11.1</v>
      </c>
      <c r="I178" s="506">
        <v>15</v>
      </c>
      <c r="J178" s="764">
        <v>100</v>
      </c>
      <c r="K178" s="145" t="s">
        <v>347</v>
      </c>
      <c r="L178" s="492">
        <v>12</v>
      </c>
      <c r="M178" s="780">
        <v>2000</v>
      </c>
      <c r="N178" s="500">
        <v>0.1</v>
      </c>
      <c r="O178" s="788">
        <v>1.4</v>
      </c>
      <c r="P178" s="492">
        <v>8</v>
      </c>
      <c r="Q178" s="609">
        <v>0.1</v>
      </c>
      <c r="R178" s="610">
        <v>584.2666666666667</v>
      </c>
      <c r="S178" s="610">
        <v>105</v>
      </c>
      <c r="T178" s="1277">
        <v>671.1</v>
      </c>
      <c r="U178" s="620">
        <v>20.013333333333335</v>
      </c>
      <c r="V178" s="506">
        <v>4.6899999999999995</v>
      </c>
      <c r="W178" s="506"/>
      <c r="X178" s="620">
        <v>2.8000000000000003</v>
      </c>
      <c r="Y178" s="823">
        <v>4.6899999999999995</v>
      </c>
      <c r="Z178" s="831">
        <v>12.5411</v>
      </c>
      <c r="AA178" s="832"/>
      <c r="AB178" s="826"/>
      <c r="AC178" s="939">
        <v>13.4</v>
      </c>
      <c r="AD178" s="826" t="s">
        <v>483</v>
      </c>
      <c r="AE178" s="826">
        <v>0</v>
      </c>
      <c r="AF178" s="804">
        <v>2113</v>
      </c>
    </row>
    <row r="179" spans="1:32" ht="14.25">
      <c r="A179" s="154"/>
      <c r="B179" s="992"/>
      <c r="C179" s="992"/>
      <c r="D179" s="508"/>
      <c r="E179" s="504"/>
      <c r="F179" s="509"/>
      <c r="G179" s="1033"/>
      <c r="H179" s="506"/>
      <c r="I179" s="506"/>
      <c r="J179" s="764"/>
      <c r="L179" s="492"/>
      <c r="M179" s="780"/>
      <c r="N179" s="500" t="s">
        <v>413</v>
      </c>
      <c r="O179" s="788" t="s">
        <v>413</v>
      </c>
      <c r="P179" s="492"/>
      <c r="Q179" s="507">
        <v>0.1</v>
      </c>
      <c r="R179" s="201">
        <v>365.1666666666667</v>
      </c>
      <c r="S179" s="201">
        <v>56</v>
      </c>
      <c r="T179" s="1277" t="s">
        <v>413</v>
      </c>
      <c r="U179" s="511">
        <v>21.408333333333335</v>
      </c>
      <c r="V179" s="506"/>
      <c r="W179" s="506"/>
      <c r="X179" s="511">
        <v>2.8000000000000003</v>
      </c>
      <c r="Y179" s="823" t="s">
        <v>413</v>
      </c>
      <c r="Z179" s="831"/>
      <c r="AA179" s="839"/>
      <c r="AB179" s="826"/>
      <c r="AC179" s="939" t="s">
        <v>413</v>
      </c>
      <c r="AD179" s="826" t="s">
        <v>413</v>
      </c>
      <c r="AE179" s="826"/>
      <c r="AF179" s="804"/>
    </row>
    <row r="180" spans="1:32" ht="14.25">
      <c r="A180" s="997"/>
      <c r="B180" s="998"/>
      <c r="C180" s="1001" t="s">
        <v>546</v>
      </c>
      <c r="D180" s="1076"/>
      <c r="E180" s="1058"/>
      <c r="F180" s="1059"/>
      <c r="G180" s="1060"/>
      <c r="H180" s="1061"/>
      <c r="I180" s="1061"/>
      <c r="J180" s="1062"/>
      <c r="K180" s="1063"/>
      <c r="L180" s="1253"/>
      <c r="M180" s="1256"/>
      <c r="N180" s="1265" t="s">
        <v>413</v>
      </c>
      <c r="O180" s="817" t="s">
        <v>413</v>
      </c>
      <c r="P180" s="813"/>
      <c r="Q180" s="609">
        <v>0.0333</v>
      </c>
      <c r="R180" s="610">
        <v>302.56666666666666</v>
      </c>
      <c r="S180" s="628">
        <v>98</v>
      </c>
      <c r="T180" s="1280" t="s">
        <v>413</v>
      </c>
      <c r="U180" s="608">
        <v>4.063666666666666</v>
      </c>
      <c r="V180" s="1061"/>
      <c r="W180" s="1061"/>
      <c r="X180" s="608">
        <v>0.9324000000000001</v>
      </c>
      <c r="Y180" s="856" t="s">
        <v>413</v>
      </c>
      <c r="Z180" s="857"/>
      <c r="AA180" s="858"/>
      <c r="AB180" s="859"/>
      <c r="AC180" s="942" t="s">
        <v>413</v>
      </c>
      <c r="AD180" s="859" t="s">
        <v>413</v>
      </c>
      <c r="AE180" s="859"/>
      <c r="AF180" s="805"/>
    </row>
    <row r="181" spans="1:32" ht="14.25">
      <c r="A181" s="496"/>
      <c r="B181" s="761"/>
      <c r="C181" s="1002"/>
      <c r="D181" s="508"/>
      <c r="E181" s="504"/>
      <c r="F181" s="509"/>
      <c r="G181" s="496"/>
      <c r="H181" s="506"/>
      <c r="I181" s="506"/>
      <c r="J181" s="764"/>
      <c r="K181" s="495"/>
      <c r="L181" s="496"/>
      <c r="M181" s="780"/>
      <c r="N181" s="500" t="s">
        <v>413</v>
      </c>
      <c r="O181" s="788" t="s">
        <v>413</v>
      </c>
      <c r="P181" s="810"/>
      <c r="Q181" s="507">
        <v>0.0333</v>
      </c>
      <c r="R181" s="201">
        <v>563.4</v>
      </c>
      <c r="S181" s="206">
        <v>154</v>
      </c>
      <c r="T181" s="1277" t="s">
        <v>413</v>
      </c>
      <c r="U181" s="506">
        <v>4.854666666666666</v>
      </c>
      <c r="V181" s="506"/>
      <c r="W181" s="506"/>
      <c r="X181" s="506">
        <v>0.9324000000000001</v>
      </c>
      <c r="Y181" s="823" t="s">
        <v>413</v>
      </c>
      <c r="Z181" s="831"/>
      <c r="AA181" s="832"/>
      <c r="AB181" s="802"/>
      <c r="AC181" s="939" t="s">
        <v>413</v>
      </c>
      <c r="AD181" s="826" t="s">
        <v>413</v>
      </c>
      <c r="AE181" s="826"/>
      <c r="AF181" s="802"/>
    </row>
    <row r="182" spans="1:32" ht="14.25">
      <c r="A182" s="987">
        <v>3000</v>
      </c>
      <c r="B182" s="988" t="s">
        <v>1501</v>
      </c>
      <c r="C182" s="989" t="s">
        <v>983</v>
      </c>
      <c r="D182" s="1021"/>
      <c r="E182" s="1022"/>
      <c r="F182" s="1023"/>
      <c r="G182" s="1024"/>
      <c r="H182" s="1025"/>
      <c r="I182" s="1025"/>
      <c r="J182" s="1026"/>
      <c r="K182" s="1026"/>
      <c r="L182" s="1021"/>
      <c r="M182" s="1026"/>
      <c r="N182" s="1263" t="s">
        <v>413</v>
      </c>
      <c r="O182" s="816" t="s">
        <v>413</v>
      </c>
      <c r="P182" s="809"/>
      <c r="Q182" s="609">
        <v>0.5</v>
      </c>
      <c r="R182" s="610">
        <v>192.86666666666665</v>
      </c>
      <c r="S182" s="628">
        <v>49</v>
      </c>
      <c r="T182" s="1276" t="s">
        <v>413</v>
      </c>
      <c r="U182" s="620">
        <v>49.25333333333333</v>
      </c>
      <c r="V182" s="1025"/>
      <c r="W182" s="1025"/>
      <c r="X182" s="620">
        <v>14</v>
      </c>
      <c r="Y182" s="833" t="s">
        <v>413</v>
      </c>
      <c r="Z182" s="820"/>
      <c r="AA182" s="821"/>
      <c r="AB182" s="822"/>
      <c r="AC182" s="938" t="s">
        <v>413</v>
      </c>
      <c r="AD182" s="822" t="s">
        <v>413</v>
      </c>
      <c r="AE182" s="822"/>
      <c r="AF182" s="801">
        <v>3000</v>
      </c>
    </row>
    <row r="183" spans="1:32" ht="14.25">
      <c r="A183" s="496"/>
      <c r="B183" s="761"/>
      <c r="C183" s="1002"/>
      <c r="D183" s="508"/>
      <c r="E183" s="504"/>
      <c r="F183" s="509"/>
      <c r="G183" s="496"/>
      <c r="H183" s="506"/>
      <c r="I183" s="506"/>
      <c r="J183" s="764"/>
      <c r="K183" s="495"/>
      <c r="L183" s="496"/>
      <c r="M183" s="764"/>
      <c r="N183" s="500" t="s">
        <v>413</v>
      </c>
      <c r="O183" s="788" t="s">
        <v>413</v>
      </c>
      <c r="P183" s="810"/>
      <c r="Q183" s="507">
        <v>0.05</v>
      </c>
      <c r="R183" s="201">
        <v>187.8</v>
      </c>
      <c r="S183" s="206">
        <v>49</v>
      </c>
      <c r="T183" s="1277" t="s">
        <v>413</v>
      </c>
      <c r="U183" s="506">
        <v>6.01</v>
      </c>
      <c r="V183" s="506"/>
      <c r="W183" s="506"/>
      <c r="X183" s="506">
        <v>1.4000000000000001</v>
      </c>
      <c r="Y183" s="823" t="s">
        <v>413</v>
      </c>
      <c r="Z183" s="831"/>
      <c r="AA183" s="832"/>
      <c r="AB183" s="802"/>
      <c r="AC183" s="939" t="s">
        <v>413</v>
      </c>
      <c r="AD183" s="826" t="s">
        <v>413</v>
      </c>
      <c r="AE183" s="826"/>
      <c r="AF183" s="802"/>
    </row>
    <row r="184" spans="1:32" ht="14.25">
      <c r="A184" s="1003">
        <v>3002</v>
      </c>
      <c r="B184" s="1004" t="s">
        <v>1501</v>
      </c>
      <c r="C184" s="1005" t="s">
        <v>547</v>
      </c>
      <c r="D184" s="1077">
        <v>1</v>
      </c>
      <c r="E184" s="1078">
        <v>18500</v>
      </c>
      <c r="F184" s="1079">
        <v>42</v>
      </c>
      <c r="G184" s="1080">
        <v>6</v>
      </c>
      <c r="H184" s="1081">
        <v>5.1</v>
      </c>
      <c r="I184" s="1081">
        <v>7.5</v>
      </c>
      <c r="J184" s="1082">
        <v>350</v>
      </c>
      <c r="K184" s="1083" t="s">
        <v>347</v>
      </c>
      <c r="L184" s="1257">
        <v>18</v>
      </c>
      <c r="M184" s="1085">
        <v>30000</v>
      </c>
      <c r="N184" s="1267">
        <v>0.25</v>
      </c>
      <c r="O184" s="1271">
        <v>2.1</v>
      </c>
      <c r="P184" s="1272">
        <v>54</v>
      </c>
      <c r="Q184" s="609">
        <v>0.05</v>
      </c>
      <c r="R184" s="610">
        <v>333.8666666666667</v>
      </c>
      <c r="S184" s="628">
        <v>28</v>
      </c>
      <c r="T184" s="1282">
        <v>1455.5833333333335</v>
      </c>
      <c r="U184" s="608">
        <v>6.137777777777777</v>
      </c>
      <c r="V184" s="1081">
        <v>1.2950000000000002</v>
      </c>
      <c r="W184" s="1154"/>
      <c r="X184" s="608">
        <v>1.4000000000000001</v>
      </c>
      <c r="Y184" s="1288">
        <v>1.2950000000000002</v>
      </c>
      <c r="Z184" s="1289">
        <v>5.999190476190477</v>
      </c>
      <c r="AA184" s="1289">
        <v>5.999190476190477</v>
      </c>
      <c r="AB184" s="1297">
        <v>7</v>
      </c>
      <c r="AC184" s="1300">
        <v>37</v>
      </c>
      <c r="AD184" s="1297" t="s">
        <v>899</v>
      </c>
      <c r="AE184" s="1297">
        <v>0</v>
      </c>
      <c r="AF184" s="1302">
        <v>3002</v>
      </c>
    </row>
    <row r="185" spans="1:32" ht="14.25">
      <c r="A185" s="154">
        <v>3004</v>
      </c>
      <c r="B185" s="763" t="s">
        <v>1501</v>
      </c>
      <c r="C185" s="992" t="s">
        <v>548</v>
      </c>
      <c r="D185" s="517">
        <v>1</v>
      </c>
      <c r="E185" s="504">
        <v>18500</v>
      </c>
      <c r="F185" s="505">
        <v>53</v>
      </c>
      <c r="G185" s="1084">
        <v>10.7</v>
      </c>
      <c r="H185" s="518">
        <v>9.1</v>
      </c>
      <c r="I185" s="518">
        <v>13.5</v>
      </c>
      <c r="J185" s="769">
        <v>200</v>
      </c>
      <c r="K185" s="145" t="s">
        <v>347</v>
      </c>
      <c r="L185" s="492">
        <v>18</v>
      </c>
      <c r="M185" s="769">
        <v>25000</v>
      </c>
      <c r="N185" s="500">
        <v>0.25</v>
      </c>
      <c r="O185" s="788">
        <v>3.1</v>
      </c>
      <c r="P185" s="492">
        <v>59</v>
      </c>
      <c r="Q185" s="507">
        <v>0.05</v>
      </c>
      <c r="R185" s="201">
        <v>740.7666666666667</v>
      </c>
      <c r="S185" s="206">
        <v>56</v>
      </c>
      <c r="T185" s="1277">
        <v>1485.5833333333335</v>
      </c>
      <c r="U185" s="506">
        <v>8.109666666666667</v>
      </c>
      <c r="V185" s="518">
        <v>2.294</v>
      </c>
      <c r="W185" s="506"/>
      <c r="X185" s="506">
        <v>1.4000000000000001</v>
      </c>
      <c r="Y185" s="863">
        <v>2.294</v>
      </c>
      <c r="Z185" s="831">
        <v>10.694108333333334</v>
      </c>
      <c r="AA185" s="831">
        <v>10.694108333333334</v>
      </c>
      <c r="AB185" s="826">
        <v>5</v>
      </c>
      <c r="AC185" s="939">
        <v>37</v>
      </c>
      <c r="AD185" s="826" t="s">
        <v>899</v>
      </c>
      <c r="AE185" s="826">
        <v>0</v>
      </c>
      <c r="AF185" s="804">
        <v>3004</v>
      </c>
    </row>
    <row r="186" spans="1:32" ht="14.25">
      <c r="A186" s="1003">
        <v>3006</v>
      </c>
      <c r="B186" s="1004" t="s">
        <v>1501</v>
      </c>
      <c r="C186" s="1005" t="s">
        <v>549</v>
      </c>
      <c r="D186" s="1077">
        <v>1</v>
      </c>
      <c r="E186" s="1078">
        <v>22500</v>
      </c>
      <c r="F186" s="1079">
        <v>58</v>
      </c>
      <c r="G186" s="1080">
        <v>7.3</v>
      </c>
      <c r="H186" s="1081">
        <v>6.2</v>
      </c>
      <c r="I186" s="1081">
        <v>9.1</v>
      </c>
      <c r="J186" s="1085">
        <v>350</v>
      </c>
      <c r="K186" s="1083" t="s">
        <v>347</v>
      </c>
      <c r="L186" s="1257">
        <v>18</v>
      </c>
      <c r="M186" s="1085">
        <v>35000</v>
      </c>
      <c r="N186" s="1267">
        <v>0.25</v>
      </c>
      <c r="O186" s="1271">
        <v>2.4</v>
      </c>
      <c r="P186" s="1272">
        <v>67</v>
      </c>
      <c r="Q186" s="507"/>
      <c r="R186" s="201" t="s">
        <v>413</v>
      </c>
      <c r="S186" s="201"/>
      <c r="T186" s="1282">
        <v>1778.25</v>
      </c>
      <c r="U186" s="506"/>
      <c r="V186" s="1081">
        <v>1.542857142857143</v>
      </c>
      <c r="W186" s="1154"/>
      <c r="X186" s="506"/>
      <c r="Y186" s="1288">
        <v>1.542857142857143</v>
      </c>
      <c r="Z186" s="1289">
        <v>7.285928571428571</v>
      </c>
      <c r="AA186" s="1289">
        <v>7.285928571428571</v>
      </c>
      <c r="AB186" s="1297">
        <v>8</v>
      </c>
      <c r="AC186" s="1300">
        <v>45</v>
      </c>
      <c r="AD186" s="1297" t="s">
        <v>899</v>
      </c>
      <c r="AE186" s="1297">
        <v>0</v>
      </c>
      <c r="AF186" s="1302">
        <v>3006</v>
      </c>
    </row>
    <row r="187" spans="1:32" ht="14.25">
      <c r="A187" s="154">
        <v>3008</v>
      </c>
      <c r="B187" s="763" t="s">
        <v>1501</v>
      </c>
      <c r="C187" s="992" t="s">
        <v>550</v>
      </c>
      <c r="D187" s="517">
        <v>1</v>
      </c>
      <c r="E187" s="504">
        <v>28000</v>
      </c>
      <c r="F187" s="505">
        <v>57</v>
      </c>
      <c r="G187" s="1084">
        <v>5.7</v>
      </c>
      <c r="H187" s="518">
        <v>4.8</v>
      </c>
      <c r="I187" s="518">
        <v>7.1</v>
      </c>
      <c r="J187" s="769">
        <v>550</v>
      </c>
      <c r="K187" s="145" t="s">
        <v>347</v>
      </c>
      <c r="L187" s="492">
        <v>18</v>
      </c>
      <c r="M187" s="769">
        <v>40000</v>
      </c>
      <c r="N187" s="500">
        <v>0.25</v>
      </c>
      <c r="O187" s="788">
        <v>1.75</v>
      </c>
      <c r="P187" s="492">
        <v>75</v>
      </c>
      <c r="Q187" s="626"/>
      <c r="R187" s="627" t="s">
        <v>413</v>
      </c>
      <c r="S187" s="627"/>
      <c r="T187" s="1277">
        <v>2162.666666666667</v>
      </c>
      <c r="U187" s="625"/>
      <c r="V187" s="518">
        <v>1.2249999999999999</v>
      </c>
      <c r="W187" s="506"/>
      <c r="X187" s="625"/>
      <c r="Y187" s="863">
        <v>1.2249999999999999</v>
      </c>
      <c r="Z187" s="831">
        <v>5.672833333333334</v>
      </c>
      <c r="AA187" s="831">
        <v>5.672833333333334</v>
      </c>
      <c r="AB187" s="826">
        <v>10</v>
      </c>
      <c r="AC187" s="939">
        <v>56</v>
      </c>
      <c r="AD187" s="826" t="s">
        <v>899</v>
      </c>
      <c r="AE187" s="826">
        <v>0</v>
      </c>
      <c r="AF187" s="804">
        <v>3008</v>
      </c>
    </row>
    <row r="188" spans="1:32" ht="14.25">
      <c r="A188" s="990">
        <v>3009</v>
      </c>
      <c r="B188" s="991" t="s">
        <v>1501</v>
      </c>
      <c r="C188" s="991" t="s">
        <v>551</v>
      </c>
      <c r="D188" s="1086">
        <v>1</v>
      </c>
      <c r="E188" s="1028">
        <v>34000</v>
      </c>
      <c r="F188" s="1087">
        <v>59</v>
      </c>
      <c r="G188" s="1088">
        <v>3.9</v>
      </c>
      <c r="H188" s="632">
        <v>3.4</v>
      </c>
      <c r="I188" s="632">
        <v>4.9</v>
      </c>
      <c r="J188" s="1089">
        <v>1000</v>
      </c>
      <c r="K188" s="1032" t="s">
        <v>347</v>
      </c>
      <c r="L188" s="1251">
        <v>18</v>
      </c>
      <c r="M188" s="1089">
        <v>60000</v>
      </c>
      <c r="N188" s="1264">
        <v>0.25</v>
      </c>
      <c r="O188" s="815">
        <v>1.85</v>
      </c>
      <c r="P188" s="812">
        <v>75</v>
      </c>
      <c r="Q188" s="507"/>
      <c r="R188" s="201" t="s">
        <v>413</v>
      </c>
      <c r="S188" s="201"/>
      <c r="T188" s="1278">
        <v>2529.666666666667</v>
      </c>
      <c r="U188" s="506"/>
      <c r="V188" s="632">
        <v>1.0483333333333333</v>
      </c>
      <c r="W188" s="613"/>
      <c r="X188" s="506"/>
      <c r="Y188" s="862">
        <v>1.0483333333333333</v>
      </c>
      <c r="Z188" s="828">
        <v>3.935800000000001</v>
      </c>
      <c r="AA188" s="828">
        <v>3.935800000000001</v>
      </c>
      <c r="AB188" s="830">
        <v>15</v>
      </c>
      <c r="AC188" s="940">
        <v>68</v>
      </c>
      <c r="AD188" s="830" t="s">
        <v>899</v>
      </c>
      <c r="AE188" s="830">
        <v>0</v>
      </c>
      <c r="AF188" s="803">
        <v>3009</v>
      </c>
    </row>
    <row r="189" spans="1:32" ht="14.25">
      <c r="A189" s="154">
        <v>3010</v>
      </c>
      <c r="B189" s="763" t="s">
        <v>1501</v>
      </c>
      <c r="C189" s="992" t="s">
        <v>984</v>
      </c>
      <c r="D189" s="517">
        <v>1</v>
      </c>
      <c r="E189" s="504">
        <v>27000</v>
      </c>
      <c r="F189" s="505">
        <v>50</v>
      </c>
      <c r="G189" s="1084">
        <v>5</v>
      </c>
      <c r="H189" s="518">
        <v>4.2</v>
      </c>
      <c r="I189" s="518">
        <v>6.2</v>
      </c>
      <c r="J189" s="769">
        <v>600</v>
      </c>
      <c r="K189" s="145" t="s">
        <v>347</v>
      </c>
      <c r="L189" s="492">
        <v>18</v>
      </c>
      <c r="M189" s="769">
        <v>40000</v>
      </c>
      <c r="N189" s="500">
        <v>0.25</v>
      </c>
      <c r="O189" s="788">
        <v>1.65</v>
      </c>
      <c r="P189" s="492">
        <v>66</v>
      </c>
      <c r="Q189" s="603"/>
      <c r="R189" s="605" t="s">
        <v>413</v>
      </c>
      <c r="S189" s="606"/>
      <c r="T189" s="1277">
        <v>2047.5</v>
      </c>
      <c r="U189" s="604"/>
      <c r="V189" s="518">
        <v>1.11375</v>
      </c>
      <c r="W189" s="506"/>
      <c r="X189" s="604"/>
      <c r="Y189" s="863">
        <v>1.11375</v>
      </c>
      <c r="Z189" s="831">
        <v>4.978875</v>
      </c>
      <c r="AA189" s="831">
        <v>4.978875</v>
      </c>
      <c r="AB189" s="826">
        <v>10</v>
      </c>
      <c r="AC189" s="939">
        <v>54</v>
      </c>
      <c r="AD189" s="826" t="s">
        <v>899</v>
      </c>
      <c r="AE189" s="826">
        <v>0</v>
      </c>
      <c r="AF189" s="804">
        <v>3010</v>
      </c>
    </row>
    <row r="190" spans="1:32" ht="14.25">
      <c r="A190" s="990">
        <v>3011</v>
      </c>
      <c r="B190" s="991" t="s">
        <v>1501</v>
      </c>
      <c r="C190" s="991" t="s">
        <v>985</v>
      </c>
      <c r="D190" s="1086">
        <v>1</v>
      </c>
      <c r="E190" s="1028">
        <v>36000</v>
      </c>
      <c r="F190" s="1087">
        <v>50</v>
      </c>
      <c r="G190" s="1088">
        <v>3.3</v>
      </c>
      <c r="H190" s="632">
        <v>2.8</v>
      </c>
      <c r="I190" s="632">
        <v>4.1</v>
      </c>
      <c r="J190" s="1089">
        <v>1200</v>
      </c>
      <c r="K190" s="1032" t="s">
        <v>347</v>
      </c>
      <c r="L190" s="1251">
        <v>18</v>
      </c>
      <c r="M190" s="1089">
        <v>60000</v>
      </c>
      <c r="N190" s="1264">
        <v>0.25</v>
      </c>
      <c r="O190" s="815">
        <v>1.3</v>
      </c>
      <c r="P190" s="812">
        <v>77</v>
      </c>
      <c r="Q190" s="507"/>
      <c r="R190" s="201" t="s">
        <v>413</v>
      </c>
      <c r="S190" s="206"/>
      <c r="T190" s="1278">
        <v>2664</v>
      </c>
      <c r="U190" s="506"/>
      <c r="V190" s="632">
        <v>0.78</v>
      </c>
      <c r="W190" s="613"/>
      <c r="X190" s="506"/>
      <c r="Y190" s="862">
        <v>0.78</v>
      </c>
      <c r="Z190" s="828">
        <v>3.3000000000000003</v>
      </c>
      <c r="AA190" s="828">
        <v>3.3000000000000003</v>
      </c>
      <c r="AB190" s="830">
        <v>15</v>
      </c>
      <c r="AC190" s="940">
        <v>72</v>
      </c>
      <c r="AD190" s="830" t="s">
        <v>899</v>
      </c>
      <c r="AE190" s="830">
        <v>0</v>
      </c>
      <c r="AF190" s="803">
        <v>3011</v>
      </c>
    </row>
    <row r="191" spans="1:32" ht="14.25">
      <c r="A191" s="154">
        <v>3012</v>
      </c>
      <c r="B191" s="763" t="s">
        <v>1501</v>
      </c>
      <c r="C191" s="992" t="s">
        <v>552</v>
      </c>
      <c r="D191" s="517">
        <v>1</v>
      </c>
      <c r="E191" s="504">
        <v>2100</v>
      </c>
      <c r="F191" s="505">
        <v>15</v>
      </c>
      <c r="G191" s="1084">
        <v>10.5</v>
      </c>
      <c r="H191" s="518">
        <v>8.4</v>
      </c>
      <c r="I191" s="518">
        <v>13.5</v>
      </c>
      <c r="J191" s="769">
        <v>50</v>
      </c>
      <c r="K191" s="145" t="s">
        <v>347</v>
      </c>
      <c r="L191" s="492">
        <v>15</v>
      </c>
      <c r="M191" s="769">
        <v>2000</v>
      </c>
      <c r="N191" s="500">
        <v>0.25</v>
      </c>
      <c r="O191" s="788">
        <v>0.85</v>
      </c>
      <c r="P191" s="492">
        <v>13</v>
      </c>
      <c r="Q191" s="609">
        <v>0.01111</v>
      </c>
      <c r="R191" s="610">
        <v>483.01666666666665</v>
      </c>
      <c r="S191" s="610">
        <v>378</v>
      </c>
      <c r="T191" s="1277">
        <v>423.95</v>
      </c>
      <c r="U191" s="632">
        <v>2.918722222222222</v>
      </c>
      <c r="V191" s="518">
        <v>0.8925</v>
      </c>
      <c r="W191" s="506"/>
      <c r="X191" s="632">
        <v>0.31108</v>
      </c>
      <c r="Y191" s="863">
        <v>0.8925</v>
      </c>
      <c r="Z191" s="831">
        <v>10.30865</v>
      </c>
      <c r="AA191" s="831">
        <v>10.30865</v>
      </c>
      <c r="AB191" s="826">
        <v>1.5</v>
      </c>
      <c r="AC191" s="939">
        <v>204.2</v>
      </c>
      <c r="AD191" s="826" t="s">
        <v>899</v>
      </c>
      <c r="AE191" s="826">
        <v>0</v>
      </c>
      <c r="AF191" s="804">
        <v>3012</v>
      </c>
    </row>
    <row r="192" spans="1:32" ht="14.25">
      <c r="A192" s="990">
        <v>3013</v>
      </c>
      <c r="B192" s="991"/>
      <c r="C192" s="991" t="s">
        <v>986</v>
      </c>
      <c r="D192" s="1086">
        <v>3</v>
      </c>
      <c r="E192" s="1028">
        <v>45000</v>
      </c>
      <c r="F192" s="1041">
        <v>21</v>
      </c>
      <c r="G192" s="1030"/>
      <c r="H192" s="613">
        <v>18</v>
      </c>
      <c r="I192" s="613">
        <v>26</v>
      </c>
      <c r="J192" s="1031">
        <v>250</v>
      </c>
      <c r="K192" s="1032"/>
      <c r="L192" s="1251">
        <v>15</v>
      </c>
      <c r="M192" s="1232">
        <v>10000</v>
      </c>
      <c r="N192" s="1264">
        <v>0.25</v>
      </c>
      <c r="O192" s="815">
        <v>1.1</v>
      </c>
      <c r="P192" s="812">
        <v>71</v>
      </c>
      <c r="Q192" s="519">
        <v>0.016667</v>
      </c>
      <c r="R192" s="201">
        <v>1091.75</v>
      </c>
      <c r="S192" s="201">
        <v>378</v>
      </c>
      <c r="T192" s="1278">
        <v>3553.5</v>
      </c>
      <c r="U192" s="518">
        <v>4.293571428571428</v>
      </c>
      <c r="V192" s="613">
        <v>4.95</v>
      </c>
      <c r="W192" s="613"/>
      <c r="X192" s="518">
        <v>0.46667600000000004</v>
      </c>
      <c r="Y192" s="827">
        <v>4.95</v>
      </c>
      <c r="Z192" s="828">
        <v>21.080400000000004</v>
      </c>
      <c r="AA192" s="829"/>
      <c r="AB192" s="830"/>
      <c r="AC192" s="940">
        <v>90</v>
      </c>
      <c r="AD192" s="830" t="s">
        <v>483</v>
      </c>
      <c r="AE192" s="830">
        <v>0</v>
      </c>
      <c r="AF192" s="803">
        <v>3013</v>
      </c>
    </row>
    <row r="193" spans="1:32" ht="14.25">
      <c r="A193" s="531">
        <v>3014</v>
      </c>
      <c r="B193" s="992"/>
      <c r="C193" s="763" t="s">
        <v>766</v>
      </c>
      <c r="D193" s="1090">
        <v>1.5</v>
      </c>
      <c r="E193" s="504">
        <v>4400</v>
      </c>
      <c r="F193" s="509">
        <v>7</v>
      </c>
      <c r="G193" s="1091">
        <v>4.9</v>
      </c>
      <c r="H193" s="1092">
        <v>4.4</v>
      </c>
      <c r="I193" s="1092">
        <v>5.8</v>
      </c>
      <c r="J193" s="1093">
        <v>200</v>
      </c>
      <c r="K193" s="145" t="s">
        <v>347</v>
      </c>
      <c r="L193" s="492">
        <v>15</v>
      </c>
      <c r="M193" s="1093">
        <v>5000</v>
      </c>
      <c r="N193" s="500">
        <v>0.1</v>
      </c>
      <c r="O193" s="788">
        <v>2.35</v>
      </c>
      <c r="P193" s="492">
        <v>23</v>
      </c>
      <c r="Q193" s="609">
        <v>0.01111</v>
      </c>
      <c r="R193" s="610">
        <v>794</v>
      </c>
      <c r="S193" s="610">
        <v>413</v>
      </c>
      <c r="T193" s="1277">
        <v>481.20000000000005</v>
      </c>
      <c r="U193" s="632">
        <v>6.155</v>
      </c>
      <c r="V193" s="1092">
        <v>2.068</v>
      </c>
      <c r="W193" s="506"/>
      <c r="X193" s="632">
        <v>0.31108</v>
      </c>
      <c r="Y193" s="864">
        <v>2.068</v>
      </c>
      <c r="Z193" s="865"/>
      <c r="AA193" s="866">
        <v>4.9214</v>
      </c>
      <c r="AB193" s="826">
        <v>32</v>
      </c>
      <c r="AC193" s="939">
        <v>8.8</v>
      </c>
      <c r="AD193" s="826" t="s">
        <v>485</v>
      </c>
      <c r="AE193" s="826">
        <v>0</v>
      </c>
      <c r="AF193" s="531">
        <v>3014</v>
      </c>
    </row>
    <row r="194" spans="1:33" ht="14.25">
      <c r="A194" s="496"/>
      <c r="B194" s="761"/>
      <c r="C194" s="496"/>
      <c r="D194" s="517"/>
      <c r="E194" s="504"/>
      <c r="F194" s="509"/>
      <c r="G194" s="1094"/>
      <c r="H194" s="506"/>
      <c r="I194" s="506"/>
      <c r="J194" s="764"/>
      <c r="K194" s="495"/>
      <c r="L194" s="496"/>
      <c r="M194" s="764"/>
      <c r="N194" s="500" t="s">
        <v>413</v>
      </c>
      <c r="O194" s="788" t="s">
        <v>413</v>
      </c>
      <c r="P194" s="810"/>
      <c r="Q194" s="519">
        <v>0.016667</v>
      </c>
      <c r="R194" s="201">
        <v>1091.75</v>
      </c>
      <c r="S194" s="201">
        <v>413</v>
      </c>
      <c r="T194" s="1277" t="s">
        <v>413</v>
      </c>
      <c r="U194" s="518">
        <v>7.68875</v>
      </c>
      <c r="V194" s="506"/>
      <c r="W194" s="506"/>
      <c r="X194" s="518">
        <v>0.46667600000000004</v>
      </c>
      <c r="Y194" s="823" t="s">
        <v>413</v>
      </c>
      <c r="Z194" s="831"/>
      <c r="AA194" s="866"/>
      <c r="AB194" s="802"/>
      <c r="AC194" s="939" t="s">
        <v>413</v>
      </c>
      <c r="AD194" s="826" t="s">
        <v>413</v>
      </c>
      <c r="AE194" s="826"/>
      <c r="AF194" s="802"/>
      <c r="AG194" s="602"/>
    </row>
    <row r="195" spans="1:33" ht="14.25">
      <c r="A195" s="987">
        <v>3020</v>
      </c>
      <c r="B195" s="988" t="s">
        <v>1501</v>
      </c>
      <c r="C195" s="989" t="s">
        <v>553</v>
      </c>
      <c r="D195" s="1021"/>
      <c r="E195" s="1022"/>
      <c r="F195" s="1023"/>
      <c r="G195" s="1024"/>
      <c r="H195" s="1025"/>
      <c r="I195" s="1025"/>
      <c r="J195" s="1026"/>
      <c r="K195" s="1026"/>
      <c r="L195" s="1021"/>
      <c r="M195" s="1026"/>
      <c r="N195" s="1263" t="s">
        <v>413</v>
      </c>
      <c r="O195" s="816" t="s">
        <v>413</v>
      </c>
      <c r="P195" s="809"/>
      <c r="Q195" s="609">
        <v>0.01111</v>
      </c>
      <c r="R195" s="610">
        <v>959.4166666666666</v>
      </c>
      <c r="S195" s="610">
        <v>469</v>
      </c>
      <c r="T195" s="1276" t="s">
        <v>413</v>
      </c>
      <c r="U195" s="632">
        <v>4.1640476190476186</v>
      </c>
      <c r="V195" s="1025"/>
      <c r="W195" s="1025"/>
      <c r="X195" s="632">
        <v>0.31108</v>
      </c>
      <c r="Y195" s="833" t="s">
        <v>413</v>
      </c>
      <c r="Z195" s="820"/>
      <c r="AA195" s="821"/>
      <c r="AB195" s="822"/>
      <c r="AC195" s="938" t="s">
        <v>413</v>
      </c>
      <c r="AD195" s="822" t="s">
        <v>413</v>
      </c>
      <c r="AE195" s="822"/>
      <c r="AF195" s="801">
        <v>3020</v>
      </c>
      <c r="AG195" s="496"/>
    </row>
    <row r="196" spans="1:32" ht="14.25">
      <c r="A196" s="496"/>
      <c r="B196" s="761"/>
      <c r="C196" s="496"/>
      <c r="D196" s="517"/>
      <c r="E196" s="504"/>
      <c r="F196" s="509"/>
      <c r="G196" s="1094"/>
      <c r="H196" s="506"/>
      <c r="I196" s="506"/>
      <c r="J196" s="764"/>
      <c r="K196" s="495"/>
      <c r="L196" s="496"/>
      <c r="M196" s="764"/>
      <c r="N196" s="500" t="s">
        <v>413</v>
      </c>
      <c r="O196" s="788" t="s">
        <v>413</v>
      </c>
      <c r="P196" s="810"/>
      <c r="Q196" s="519">
        <v>0.016667</v>
      </c>
      <c r="R196" s="201">
        <v>1356.4166666666665</v>
      </c>
      <c r="S196" s="201">
        <v>469</v>
      </c>
      <c r="T196" s="1277" t="s">
        <v>413</v>
      </c>
      <c r="U196" s="518">
        <v>5.332619047619048</v>
      </c>
      <c r="V196" s="506"/>
      <c r="W196" s="506"/>
      <c r="X196" s="518">
        <v>0.46667600000000004</v>
      </c>
      <c r="Y196" s="823" t="s">
        <v>413</v>
      </c>
      <c r="Z196" s="831"/>
      <c r="AA196" s="866"/>
      <c r="AB196" s="802"/>
      <c r="AC196" s="939" t="s">
        <v>413</v>
      </c>
      <c r="AD196" s="826" t="s">
        <v>413</v>
      </c>
      <c r="AE196" s="826"/>
      <c r="AF196" s="802"/>
    </row>
    <row r="197" spans="1:32" ht="14.25">
      <c r="A197" s="990">
        <v>3021</v>
      </c>
      <c r="B197" s="991" t="s">
        <v>1501</v>
      </c>
      <c r="C197" s="991" t="s">
        <v>554</v>
      </c>
      <c r="D197" s="1086">
        <v>1</v>
      </c>
      <c r="E197" s="1028">
        <v>34000</v>
      </c>
      <c r="F197" s="1087">
        <v>44</v>
      </c>
      <c r="G197" s="1088">
        <v>3.7</v>
      </c>
      <c r="H197" s="632">
        <v>3.1</v>
      </c>
      <c r="I197" s="632">
        <v>4.6</v>
      </c>
      <c r="J197" s="1089">
        <v>1000</v>
      </c>
      <c r="K197" s="1032" t="s">
        <v>347</v>
      </c>
      <c r="L197" s="1251">
        <v>18</v>
      </c>
      <c r="M197" s="1089">
        <v>60000</v>
      </c>
      <c r="N197" s="1264">
        <v>0.25</v>
      </c>
      <c r="O197" s="815">
        <v>1.45</v>
      </c>
      <c r="P197" s="812">
        <v>72</v>
      </c>
      <c r="Q197" s="609">
        <v>0.01111</v>
      </c>
      <c r="R197" s="610">
        <v>1257.1666666666665</v>
      </c>
      <c r="S197" s="610">
        <v>525</v>
      </c>
      <c r="T197" s="1278">
        <v>2511.666666666667</v>
      </c>
      <c r="U197" s="632">
        <v>3.640333333333333</v>
      </c>
      <c r="V197" s="632">
        <v>0.8216666666666667</v>
      </c>
      <c r="W197" s="613"/>
      <c r="X197" s="632">
        <v>0.31108</v>
      </c>
      <c r="Y197" s="862">
        <v>0.8216666666666667</v>
      </c>
      <c r="Z197" s="828">
        <v>3.6666666666666674</v>
      </c>
      <c r="AA197" s="867">
        <v>3.6666666666666674</v>
      </c>
      <c r="AB197" s="830">
        <v>12</v>
      </c>
      <c r="AC197" s="940">
        <v>68</v>
      </c>
      <c r="AD197" s="830" t="s">
        <v>899</v>
      </c>
      <c r="AE197" s="830">
        <v>0</v>
      </c>
      <c r="AF197" s="803">
        <v>3021</v>
      </c>
    </row>
    <row r="198" spans="1:32" ht="14.25">
      <c r="A198" s="154">
        <v>3022</v>
      </c>
      <c r="B198" s="992" t="s">
        <v>1501</v>
      </c>
      <c r="C198" s="992" t="s">
        <v>555</v>
      </c>
      <c r="D198" s="517">
        <v>1</v>
      </c>
      <c r="E198" s="504">
        <v>39000</v>
      </c>
      <c r="F198" s="505">
        <v>52</v>
      </c>
      <c r="G198" s="1084">
        <v>3.5</v>
      </c>
      <c r="H198" s="518">
        <v>3</v>
      </c>
      <c r="I198" s="518">
        <v>4.4</v>
      </c>
      <c r="J198" s="769">
        <v>1200</v>
      </c>
      <c r="K198" s="145" t="s">
        <v>347</v>
      </c>
      <c r="L198" s="492">
        <v>18</v>
      </c>
      <c r="M198" s="769">
        <v>75000</v>
      </c>
      <c r="N198" s="500">
        <v>0.25</v>
      </c>
      <c r="O198" s="788">
        <v>1.5</v>
      </c>
      <c r="P198" s="492">
        <v>81</v>
      </c>
      <c r="Q198" s="519">
        <v>0.016667</v>
      </c>
      <c r="R198" s="201">
        <v>1588</v>
      </c>
      <c r="S198" s="201">
        <v>525</v>
      </c>
      <c r="T198" s="1277">
        <v>2871.5</v>
      </c>
      <c r="U198" s="518">
        <v>3.929090909090909</v>
      </c>
      <c r="V198" s="518">
        <v>0.78</v>
      </c>
      <c r="W198" s="506"/>
      <c r="X198" s="518">
        <v>0.46667600000000004</v>
      </c>
      <c r="Y198" s="863">
        <v>0.78</v>
      </c>
      <c r="Z198" s="831">
        <v>3.4902083333333334</v>
      </c>
      <c r="AA198" s="868">
        <v>3.4902083333333334</v>
      </c>
      <c r="AB198" s="826">
        <v>15</v>
      </c>
      <c r="AC198" s="939">
        <v>78</v>
      </c>
      <c r="AD198" s="826" t="s">
        <v>899</v>
      </c>
      <c r="AE198" s="826">
        <v>0</v>
      </c>
      <c r="AF198" s="804">
        <v>3022</v>
      </c>
    </row>
    <row r="199" spans="1:32" ht="14.25">
      <c r="A199" s="990">
        <v>3023</v>
      </c>
      <c r="B199" s="991" t="s">
        <v>1501</v>
      </c>
      <c r="C199" s="991" t="s">
        <v>556</v>
      </c>
      <c r="D199" s="1086">
        <v>1</v>
      </c>
      <c r="E199" s="1028">
        <v>74000</v>
      </c>
      <c r="F199" s="1087">
        <v>76</v>
      </c>
      <c r="G199" s="1088">
        <v>3.8</v>
      </c>
      <c r="H199" s="632">
        <v>3.2</v>
      </c>
      <c r="I199" s="632">
        <v>4.7</v>
      </c>
      <c r="J199" s="1089">
        <v>2000</v>
      </c>
      <c r="K199" s="1032" t="s">
        <v>347</v>
      </c>
      <c r="L199" s="1251">
        <v>18</v>
      </c>
      <c r="M199" s="1089">
        <v>100000</v>
      </c>
      <c r="N199" s="1264">
        <v>0.25</v>
      </c>
      <c r="O199" s="815">
        <v>1.15</v>
      </c>
      <c r="P199" s="812">
        <v>108</v>
      </c>
      <c r="Q199" s="630">
        <v>0.016667</v>
      </c>
      <c r="R199" s="610">
        <v>2051.166666666667</v>
      </c>
      <c r="S199" s="610">
        <v>525</v>
      </c>
      <c r="T199" s="1278">
        <v>5174.333333333334</v>
      </c>
      <c r="U199" s="632">
        <v>2.6381666666666668</v>
      </c>
      <c r="V199" s="632">
        <v>0.851</v>
      </c>
      <c r="W199" s="613"/>
      <c r="X199" s="632">
        <v>0.46667600000000004</v>
      </c>
      <c r="Y199" s="862">
        <v>0.851</v>
      </c>
      <c r="Z199" s="828">
        <v>3.781983333333334</v>
      </c>
      <c r="AA199" s="867">
        <v>3.781983333333334</v>
      </c>
      <c r="AB199" s="830">
        <v>20</v>
      </c>
      <c r="AC199" s="940">
        <v>148</v>
      </c>
      <c r="AD199" s="830" t="s">
        <v>899</v>
      </c>
      <c r="AE199" s="830">
        <v>0</v>
      </c>
      <c r="AF199" s="803">
        <v>3023</v>
      </c>
    </row>
    <row r="200" spans="1:32" ht="14.25">
      <c r="A200" s="154">
        <v>3025</v>
      </c>
      <c r="B200" s="992" t="s">
        <v>1501</v>
      </c>
      <c r="C200" s="992" t="s">
        <v>1462</v>
      </c>
      <c r="D200" s="517">
        <v>1</v>
      </c>
      <c r="E200" s="504">
        <v>68000</v>
      </c>
      <c r="F200" s="505">
        <v>59</v>
      </c>
      <c r="G200" s="1084">
        <v>3.9</v>
      </c>
      <c r="H200" s="518">
        <v>3.5</v>
      </c>
      <c r="I200" s="518">
        <v>4.7</v>
      </c>
      <c r="J200" s="769">
        <v>2500</v>
      </c>
      <c r="K200" s="145" t="s">
        <v>347</v>
      </c>
      <c r="L200" s="492">
        <v>18</v>
      </c>
      <c r="M200" s="769">
        <v>60000</v>
      </c>
      <c r="N200" s="500">
        <v>0.1</v>
      </c>
      <c r="O200" s="788">
        <v>1.3</v>
      </c>
      <c r="P200" s="492">
        <v>110</v>
      </c>
      <c r="Q200" s="519">
        <v>0.016667</v>
      </c>
      <c r="R200" s="201">
        <v>1654.1666666666667</v>
      </c>
      <c r="S200" s="201">
        <v>462</v>
      </c>
      <c r="T200" s="1277">
        <v>5284</v>
      </c>
      <c r="U200" s="518">
        <v>3.610277777777778</v>
      </c>
      <c r="V200" s="518">
        <v>1.4733333333333334</v>
      </c>
      <c r="W200" s="506"/>
      <c r="X200" s="518">
        <v>0.46667600000000004</v>
      </c>
      <c r="Y200" s="863">
        <v>1.4733333333333334</v>
      </c>
      <c r="Z200" s="831">
        <v>3.945626666666667</v>
      </c>
      <c r="AA200" s="868">
        <v>3.945626666666667</v>
      </c>
      <c r="AB200" s="826">
        <v>15</v>
      </c>
      <c r="AC200" s="939">
        <v>136</v>
      </c>
      <c r="AD200" s="826" t="s">
        <v>899</v>
      </c>
      <c r="AE200" s="826">
        <v>0</v>
      </c>
      <c r="AF200" s="804">
        <v>3025</v>
      </c>
    </row>
    <row r="201" spans="1:32" ht="14.25">
      <c r="A201" s="1003">
        <v>3026</v>
      </c>
      <c r="B201" s="1005" t="s">
        <v>1501</v>
      </c>
      <c r="C201" s="1005" t="s">
        <v>1463</v>
      </c>
      <c r="D201" s="1077">
        <v>1</v>
      </c>
      <c r="E201" s="1078">
        <v>92000</v>
      </c>
      <c r="F201" s="1079">
        <v>88</v>
      </c>
      <c r="G201" s="1080">
        <v>4</v>
      </c>
      <c r="H201" s="1081">
        <v>3.5</v>
      </c>
      <c r="I201" s="1081">
        <v>4.8</v>
      </c>
      <c r="J201" s="1085">
        <v>3200</v>
      </c>
      <c r="K201" s="1083" t="s">
        <v>347</v>
      </c>
      <c r="L201" s="1257">
        <v>18</v>
      </c>
      <c r="M201" s="1085">
        <v>75000</v>
      </c>
      <c r="N201" s="1267">
        <v>0.1</v>
      </c>
      <c r="O201" s="1271">
        <v>1.2</v>
      </c>
      <c r="P201" s="1272">
        <v>110</v>
      </c>
      <c r="Q201" s="630">
        <v>0.016667</v>
      </c>
      <c r="R201" s="610">
        <v>2382</v>
      </c>
      <c r="S201" s="610">
        <v>539</v>
      </c>
      <c r="T201" s="1282">
        <v>6916</v>
      </c>
      <c r="U201" s="632">
        <v>2.4941666666666666</v>
      </c>
      <c r="V201" s="1081">
        <v>1.4719999999999998</v>
      </c>
      <c r="W201" s="1154"/>
      <c r="X201" s="632">
        <v>0.46667600000000004</v>
      </c>
      <c r="Y201" s="1288">
        <v>1.4719999999999998</v>
      </c>
      <c r="Z201" s="1289">
        <v>3.9965749999999995</v>
      </c>
      <c r="AA201" s="1290">
        <v>3.9965749999999995</v>
      </c>
      <c r="AB201" s="1297">
        <v>22</v>
      </c>
      <c r="AC201" s="1300">
        <v>184</v>
      </c>
      <c r="AD201" s="1297" t="s">
        <v>899</v>
      </c>
      <c r="AE201" s="1297">
        <v>0</v>
      </c>
      <c r="AF201" s="1302">
        <v>3026</v>
      </c>
    </row>
    <row r="202" spans="1:32" ht="14.25">
      <c r="A202" s="496"/>
      <c r="B202" s="761"/>
      <c r="C202" s="496"/>
      <c r="D202" s="517"/>
      <c r="E202" s="504"/>
      <c r="F202" s="509"/>
      <c r="G202" s="1094"/>
      <c r="H202" s="506"/>
      <c r="I202" s="506"/>
      <c r="J202" s="764"/>
      <c r="K202" s="495"/>
      <c r="L202" s="496"/>
      <c r="M202" s="764"/>
      <c r="N202" s="500" t="s">
        <v>413</v>
      </c>
      <c r="O202" s="788" t="s">
        <v>413</v>
      </c>
      <c r="P202" s="810"/>
      <c r="Q202" s="507">
        <v>0.01111</v>
      </c>
      <c r="R202" s="201">
        <v>230.95</v>
      </c>
      <c r="S202" s="201">
        <v>91</v>
      </c>
      <c r="T202" s="1277" t="s">
        <v>413</v>
      </c>
      <c r="U202" s="518">
        <v>10.562999999999999</v>
      </c>
      <c r="V202" s="506"/>
      <c r="W202" s="506"/>
      <c r="X202" s="518">
        <v>0.31108</v>
      </c>
      <c r="Y202" s="823" t="s">
        <v>413</v>
      </c>
      <c r="Z202" s="831"/>
      <c r="AA202" s="866"/>
      <c r="AB202" s="802"/>
      <c r="AC202" s="939" t="s">
        <v>413</v>
      </c>
      <c r="AD202" s="826" t="s">
        <v>413</v>
      </c>
      <c r="AE202" s="826"/>
      <c r="AF202" s="802"/>
    </row>
    <row r="203" spans="1:32" ht="14.25">
      <c r="A203" s="987">
        <v>3040</v>
      </c>
      <c r="B203" s="988"/>
      <c r="C203" s="989" t="s">
        <v>557</v>
      </c>
      <c r="D203" s="1021"/>
      <c r="E203" s="1022"/>
      <c r="F203" s="1023"/>
      <c r="G203" s="1024"/>
      <c r="H203" s="1025"/>
      <c r="I203" s="1025"/>
      <c r="J203" s="1026"/>
      <c r="K203" s="1026"/>
      <c r="L203" s="1021"/>
      <c r="M203" s="1026"/>
      <c r="N203" s="1263" t="s">
        <v>413</v>
      </c>
      <c r="O203" s="816" t="s">
        <v>413</v>
      </c>
      <c r="P203" s="809"/>
      <c r="Q203" s="609">
        <v>0.05</v>
      </c>
      <c r="R203" s="610">
        <v>2831</v>
      </c>
      <c r="S203" s="610">
        <v>497</v>
      </c>
      <c r="T203" s="1276" t="s">
        <v>413</v>
      </c>
      <c r="U203" s="608">
        <v>15.888</v>
      </c>
      <c r="V203" s="1025"/>
      <c r="W203" s="1025"/>
      <c r="X203" s="608">
        <v>1.4000000000000001</v>
      </c>
      <c r="Y203" s="833" t="s">
        <v>413</v>
      </c>
      <c r="Z203" s="820"/>
      <c r="AA203" s="821"/>
      <c r="AB203" s="822"/>
      <c r="AC203" s="938" t="s">
        <v>413</v>
      </c>
      <c r="AD203" s="822" t="s">
        <v>413</v>
      </c>
      <c r="AE203" s="822"/>
      <c r="AF203" s="801">
        <v>3040</v>
      </c>
    </row>
    <row r="204" spans="1:32" ht="14.25">
      <c r="A204" s="496"/>
      <c r="B204" s="761"/>
      <c r="C204" s="496"/>
      <c r="D204" s="499"/>
      <c r="E204" s="504"/>
      <c r="F204" s="496"/>
      <c r="G204" s="496"/>
      <c r="H204" s="495"/>
      <c r="I204" s="495"/>
      <c r="J204" s="499"/>
      <c r="K204" s="495"/>
      <c r="L204" s="496"/>
      <c r="M204" s="499"/>
      <c r="N204" s="500" t="s">
        <v>413</v>
      </c>
      <c r="O204" s="788" t="s">
        <v>413</v>
      </c>
      <c r="P204" s="810"/>
      <c r="Q204" s="507"/>
      <c r="R204" s="201" t="s">
        <v>413</v>
      </c>
      <c r="S204" s="206"/>
      <c r="T204" s="1277" t="s">
        <v>413</v>
      </c>
      <c r="U204" s="506"/>
      <c r="V204" s="496"/>
      <c r="W204" s="496"/>
      <c r="X204" s="506"/>
      <c r="Y204" s="823" t="s">
        <v>413</v>
      </c>
      <c r="Z204" s="802"/>
      <c r="AA204" s="802"/>
      <c r="AB204" s="802"/>
      <c r="AC204" s="939" t="s">
        <v>413</v>
      </c>
      <c r="AD204" s="826" t="s">
        <v>413</v>
      </c>
      <c r="AE204" s="802"/>
      <c r="AF204" s="802"/>
    </row>
    <row r="205" spans="1:32" ht="14.25">
      <c r="A205" s="990">
        <v>3041</v>
      </c>
      <c r="B205" s="991"/>
      <c r="C205" s="991" t="s">
        <v>558</v>
      </c>
      <c r="D205" s="1086">
        <v>1</v>
      </c>
      <c r="E205" s="1028">
        <v>11500</v>
      </c>
      <c r="F205" s="1029">
        <v>14.5</v>
      </c>
      <c r="G205" s="1095">
        <v>14.5</v>
      </c>
      <c r="H205" s="1096">
        <v>12.5</v>
      </c>
      <c r="I205" s="1096">
        <v>18</v>
      </c>
      <c r="J205" s="1031">
        <v>100</v>
      </c>
      <c r="K205" s="1032" t="s">
        <v>347</v>
      </c>
      <c r="L205" s="1251">
        <v>15</v>
      </c>
      <c r="M205" s="1232">
        <v>3000</v>
      </c>
      <c r="N205" s="1264">
        <v>0.25</v>
      </c>
      <c r="O205" s="815">
        <v>0.9</v>
      </c>
      <c r="P205" s="812">
        <v>31</v>
      </c>
      <c r="Q205" s="603"/>
      <c r="R205" s="605" t="s">
        <v>413</v>
      </c>
      <c r="S205" s="606"/>
      <c r="T205" s="1278">
        <v>985.25</v>
      </c>
      <c r="U205" s="604"/>
      <c r="V205" s="613">
        <v>3.45</v>
      </c>
      <c r="W205" s="613"/>
      <c r="X205" s="604"/>
      <c r="Y205" s="827">
        <v>3.45</v>
      </c>
      <c r="Z205" s="828">
        <v>14.63275</v>
      </c>
      <c r="AA205" s="869">
        <v>14.63275</v>
      </c>
      <c r="AB205" s="830">
        <v>1</v>
      </c>
      <c r="AC205" s="940">
        <v>23</v>
      </c>
      <c r="AD205" s="830" t="s">
        <v>483</v>
      </c>
      <c r="AE205" s="830">
        <v>0</v>
      </c>
      <c r="AF205" s="803">
        <v>3041</v>
      </c>
    </row>
    <row r="206" spans="1:32" ht="14.25">
      <c r="A206" s="154">
        <v>3042</v>
      </c>
      <c r="B206" s="992"/>
      <c r="C206" s="992" t="s">
        <v>559</v>
      </c>
      <c r="D206" s="517">
        <v>1</v>
      </c>
      <c r="E206" s="504">
        <v>18000</v>
      </c>
      <c r="F206" s="611">
        <v>26.5</v>
      </c>
      <c r="G206" s="1097">
        <v>26.5</v>
      </c>
      <c r="H206" s="1092">
        <v>22</v>
      </c>
      <c r="I206" s="1092">
        <v>33</v>
      </c>
      <c r="J206" s="764">
        <v>100</v>
      </c>
      <c r="K206" s="145" t="s">
        <v>347</v>
      </c>
      <c r="L206" s="492">
        <v>15</v>
      </c>
      <c r="M206" s="780">
        <v>2500</v>
      </c>
      <c r="N206" s="500">
        <v>0.1</v>
      </c>
      <c r="O206" s="788">
        <v>0.8</v>
      </c>
      <c r="P206" s="492">
        <v>72</v>
      </c>
      <c r="Q206" s="507"/>
      <c r="R206" s="201" t="s">
        <v>413</v>
      </c>
      <c r="S206" s="206"/>
      <c r="T206" s="1277">
        <v>1836</v>
      </c>
      <c r="U206" s="506"/>
      <c r="V206" s="506">
        <v>5.760000000000001</v>
      </c>
      <c r="W206" s="506"/>
      <c r="X206" s="506"/>
      <c r="Y206" s="823">
        <v>5.760000000000001</v>
      </c>
      <c r="Z206" s="831">
        <v>26.532000000000004</v>
      </c>
      <c r="AA206" s="866">
        <v>26.532000000000004</v>
      </c>
      <c r="AB206" s="826">
        <v>1</v>
      </c>
      <c r="AC206" s="939">
        <v>36</v>
      </c>
      <c r="AD206" s="826" t="s">
        <v>483</v>
      </c>
      <c r="AE206" s="826">
        <v>0</v>
      </c>
      <c r="AF206" s="804">
        <v>3042</v>
      </c>
    </row>
    <row r="207" spans="1:32" ht="14.25">
      <c r="A207" s="990">
        <v>3043</v>
      </c>
      <c r="B207" s="991"/>
      <c r="C207" s="991" t="s">
        <v>560</v>
      </c>
      <c r="D207" s="1086">
        <v>1</v>
      </c>
      <c r="E207" s="1028">
        <v>27000</v>
      </c>
      <c r="F207" s="1098">
        <v>38</v>
      </c>
      <c r="G207" s="1095">
        <v>38</v>
      </c>
      <c r="H207" s="1096">
        <v>32</v>
      </c>
      <c r="I207" s="1096">
        <v>48</v>
      </c>
      <c r="J207" s="1031">
        <v>100</v>
      </c>
      <c r="K207" s="1032" t="s">
        <v>347</v>
      </c>
      <c r="L207" s="1251">
        <v>15</v>
      </c>
      <c r="M207" s="1232">
        <v>2500</v>
      </c>
      <c r="N207" s="1264">
        <v>0.1</v>
      </c>
      <c r="O207" s="815">
        <v>0.75</v>
      </c>
      <c r="P207" s="812">
        <v>93</v>
      </c>
      <c r="Q207" s="630">
        <v>0.01</v>
      </c>
      <c r="R207" s="610">
        <v>2249.666666666667</v>
      </c>
      <c r="S207" s="610">
        <v>504</v>
      </c>
      <c r="T207" s="1278">
        <v>2664</v>
      </c>
      <c r="U207" s="632">
        <v>2.8216666666666668</v>
      </c>
      <c r="V207" s="613">
        <v>8.100000000000001</v>
      </c>
      <c r="W207" s="613"/>
      <c r="X207" s="632">
        <v>0.28</v>
      </c>
      <c r="Y207" s="827">
        <v>8.100000000000001</v>
      </c>
      <c r="Z207" s="828">
        <v>38.214000000000006</v>
      </c>
      <c r="AA207" s="869">
        <v>38.214000000000006</v>
      </c>
      <c r="AB207" s="830">
        <v>1</v>
      </c>
      <c r="AC207" s="940">
        <v>54</v>
      </c>
      <c r="AD207" s="830" t="s">
        <v>483</v>
      </c>
      <c r="AE207" s="830">
        <v>0</v>
      </c>
      <c r="AF207" s="803">
        <v>3043</v>
      </c>
    </row>
    <row r="208" spans="1:32" ht="14.25">
      <c r="A208" s="154">
        <v>3044</v>
      </c>
      <c r="B208" s="992"/>
      <c r="C208" s="992" t="s">
        <v>561</v>
      </c>
      <c r="D208" s="510" t="s">
        <v>347</v>
      </c>
      <c r="E208" s="504">
        <v>2100</v>
      </c>
      <c r="F208" s="509"/>
      <c r="G208" s="1099">
        <v>2.6</v>
      </c>
      <c r="H208" s="1100">
        <v>2.3</v>
      </c>
      <c r="I208" s="1100">
        <v>3.1</v>
      </c>
      <c r="J208" s="967">
        <v>180</v>
      </c>
      <c r="K208" s="145" t="s">
        <v>347</v>
      </c>
      <c r="L208" s="492">
        <v>15</v>
      </c>
      <c r="M208" s="967">
        <v>5000</v>
      </c>
      <c r="N208" s="500">
        <v>0.25</v>
      </c>
      <c r="O208" s="788">
        <v>2.3</v>
      </c>
      <c r="P208" s="492">
        <v>18</v>
      </c>
      <c r="Q208" s="519">
        <v>0.01</v>
      </c>
      <c r="R208" s="201">
        <v>2712.833333333333</v>
      </c>
      <c r="S208" s="201">
        <v>567</v>
      </c>
      <c r="T208" s="1277">
        <v>253.95</v>
      </c>
      <c r="U208" s="518">
        <v>2.8015277777777774</v>
      </c>
      <c r="V208" s="1100">
        <v>0.9659999999999999</v>
      </c>
      <c r="W208" s="1100"/>
      <c r="X208" s="518">
        <v>0.28</v>
      </c>
      <c r="Y208" s="870">
        <v>0.9659999999999999</v>
      </c>
      <c r="Z208" s="831"/>
      <c r="AA208" s="871">
        <v>2.6145166666666664</v>
      </c>
      <c r="AB208" s="826"/>
      <c r="AC208" s="939">
        <v>4.2</v>
      </c>
      <c r="AD208" s="826" t="s">
        <v>900</v>
      </c>
      <c r="AE208" s="826">
        <v>0</v>
      </c>
      <c r="AF208" s="804">
        <v>3044</v>
      </c>
    </row>
    <row r="209" spans="1:32" ht="14.25">
      <c r="A209" s="994">
        <v>3045</v>
      </c>
      <c r="B209" s="991"/>
      <c r="C209" s="991" t="s">
        <v>1387</v>
      </c>
      <c r="D209" s="1040" t="s">
        <v>347</v>
      </c>
      <c r="E209" s="1028">
        <v>3300</v>
      </c>
      <c r="F209" s="1041"/>
      <c r="G209" s="1101">
        <v>3.4</v>
      </c>
      <c r="H209" s="1102">
        <v>3</v>
      </c>
      <c r="I209" s="1102">
        <v>4.2</v>
      </c>
      <c r="J209" s="1103">
        <v>180</v>
      </c>
      <c r="K209" s="1032" t="s">
        <v>347</v>
      </c>
      <c r="L209" s="1251">
        <v>15</v>
      </c>
      <c r="M209" s="1103">
        <v>5000</v>
      </c>
      <c r="N209" s="1264">
        <v>0.25</v>
      </c>
      <c r="O209" s="815">
        <v>1.8</v>
      </c>
      <c r="P209" s="812">
        <v>20</v>
      </c>
      <c r="Q209" s="630">
        <v>0.01</v>
      </c>
      <c r="R209" s="610">
        <v>5491.833333333334</v>
      </c>
      <c r="S209" s="610">
        <v>756</v>
      </c>
      <c r="T209" s="1278">
        <v>349.35</v>
      </c>
      <c r="U209" s="632">
        <v>3.206916666666667</v>
      </c>
      <c r="V209" s="1102">
        <v>1.1880000000000002</v>
      </c>
      <c r="W209" s="1102"/>
      <c r="X209" s="632">
        <v>0.28</v>
      </c>
      <c r="Y209" s="872">
        <v>1.1880000000000002</v>
      </c>
      <c r="Z209" s="828"/>
      <c r="AA209" s="873">
        <v>3.441716666666667</v>
      </c>
      <c r="AB209" s="830"/>
      <c r="AC209" s="940">
        <v>6.6000000000000005</v>
      </c>
      <c r="AD209" s="830" t="s">
        <v>900</v>
      </c>
      <c r="AE209" s="830">
        <v>0</v>
      </c>
      <c r="AF209" s="803">
        <v>3045</v>
      </c>
    </row>
    <row r="210" spans="1:32" ht="14.25">
      <c r="A210" s="154">
        <v>3046</v>
      </c>
      <c r="B210" s="992"/>
      <c r="C210" s="992" t="s">
        <v>562</v>
      </c>
      <c r="D210" s="510" t="s">
        <v>347</v>
      </c>
      <c r="E210" s="504">
        <v>4400</v>
      </c>
      <c r="F210" s="509"/>
      <c r="G210" s="1099">
        <v>4.5</v>
      </c>
      <c r="H210" s="1100">
        <v>3.9</v>
      </c>
      <c r="I210" s="1100">
        <v>5.5</v>
      </c>
      <c r="J210" s="967">
        <v>180</v>
      </c>
      <c r="K210" s="145" t="s">
        <v>347</v>
      </c>
      <c r="L210" s="492">
        <v>15</v>
      </c>
      <c r="M210" s="967">
        <v>5000</v>
      </c>
      <c r="N210" s="500">
        <v>0.25</v>
      </c>
      <c r="O210" s="788">
        <v>1.6</v>
      </c>
      <c r="P210" s="492">
        <v>30</v>
      </c>
      <c r="Q210" s="513">
        <v>0.005</v>
      </c>
      <c r="R210" s="201">
        <v>3475.2</v>
      </c>
      <c r="S210" s="201">
        <v>770</v>
      </c>
      <c r="T210" s="1277">
        <v>485.8</v>
      </c>
      <c r="U210" s="518">
        <v>1.73648</v>
      </c>
      <c r="V210" s="1100">
        <v>1.4080000000000001</v>
      </c>
      <c r="W210" s="1100"/>
      <c r="X210" s="518">
        <v>0.14</v>
      </c>
      <c r="Y210" s="870">
        <v>1.4080000000000001</v>
      </c>
      <c r="Z210" s="831"/>
      <c r="AA210" s="871">
        <v>4.517577777777778</v>
      </c>
      <c r="AB210" s="826"/>
      <c r="AC210" s="939">
        <v>8.8</v>
      </c>
      <c r="AD210" s="826" t="s">
        <v>900</v>
      </c>
      <c r="AE210" s="826">
        <v>0</v>
      </c>
      <c r="AF210" s="804">
        <v>3046</v>
      </c>
    </row>
    <row r="211" spans="1:32" ht="14.25">
      <c r="A211" s="496"/>
      <c r="B211" s="761"/>
      <c r="C211" s="1006"/>
      <c r="D211" s="496"/>
      <c r="E211" s="504"/>
      <c r="F211" s="496"/>
      <c r="G211" s="496"/>
      <c r="H211" s="495"/>
      <c r="I211" s="495"/>
      <c r="J211" s="499"/>
      <c r="K211" s="495"/>
      <c r="L211" s="496"/>
      <c r="M211" s="499"/>
      <c r="N211" s="500" t="s">
        <v>413</v>
      </c>
      <c r="O211" s="788" t="s">
        <v>413</v>
      </c>
      <c r="P211" s="810"/>
      <c r="Q211" s="507"/>
      <c r="R211" s="201" t="s">
        <v>413</v>
      </c>
      <c r="S211" s="206"/>
      <c r="T211" s="1277" t="s">
        <v>413</v>
      </c>
      <c r="U211" s="506"/>
      <c r="V211" s="496"/>
      <c r="W211" s="496"/>
      <c r="X211" s="506"/>
      <c r="Y211" s="823" t="s">
        <v>413</v>
      </c>
      <c r="Z211" s="850"/>
      <c r="AA211" s="850"/>
      <c r="AB211" s="802"/>
      <c r="AC211" s="939" t="s">
        <v>413</v>
      </c>
      <c r="AD211" s="826" t="s">
        <v>413</v>
      </c>
      <c r="AE211" s="826"/>
      <c r="AF211" s="802"/>
    </row>
    <row r="212" spans="1:32" ht="14.25">
      <c r="A212" s="997"/>
      <c r="B212" s="998"/>
      <c r="C212" s="999" t="s">
        <v>563</v>
      </c>
      <c r="D212" s="1057"/>
      <c r="E212" s="1058"/>
      <c r="F212" s="1059"/>
      <c r="G212" s="1060"/>
      <c r="H212" s="1061"/>
      <c r="I212" s="1061"/>
      <c r="J212" s="1062"/>
      <c r="K212" s="1063"/>
      <c r="L212" s="1253"/>
      <c r="M212" s="1062"/>
      <c r="N212" s="1265" t="s">
        <v>413</v>
      </c>
      <c r="O212" s="817" t="s">
        <v>413</v>
      </c>
      <c r="P212" s="813"/>
      <c r="Q212" s="603"/>
      <c r="R212" s="605" t="s">
        <v>413</v>
      </c>
      <c r="S212" s="606"/>
      <c r="T212" s="1280" t="s">
        <v>413</v>
      </c>
      <c r="U212" s="604"/>
      <c r="V212" s="1061"/>
      <c r="W212" s="1061"/>
      <c r="X212" s="604"/>
      <c r="Y212" s="856" t="s">
        <v>413</v>
      </c>
      <c r="Z212" s="857"/>
      <c r="AA212" s="858"/>
      <c r="AB212" s="859"/>
      <c r="AC212" s="942" t="s">
        <v>413</v>
      </c>
      <c r="AD212" s="859" t="s">
        <v>413</v>
      </c>
      <c r="AE212" s="859"/>
      <c r="AF212" s="805"/>
    </row>
    <row r="213" spans="1:32" ht="14.25">
      <c r="A213" s="496"/>
      <c r="B213" s="761"/>
      <c r="C213" s="762"/>
      <c r="D213" s="508"/>
      <c r="E213" s="504"/>
      <c r="F213" s="509"/>
      <c r="G213" s="496"/>
      <c r="H213" s="506"/>
      <c r="I213" s="506"/>
      <c r="J213" s="764"/>
      <c r="K213" s="495"/>
      <c r="L213" s="496"/>
      <c r="M213" s="764"/>
      <c r="N213" s="500" t="s">
        <v>413</v>
      </c>
      <c r="O213" s="788" t="s">
        <v>413</v>
      </c>
      <c r="P213" s="810"/>
      <c r="Q213" s="495"/>
      <c r="R213" s="201" t="s">
        <v>413</v>
      </c>
      <c r="S213" s="499"/>
      <c r="T213" s="1277" t="s">
        <v>413</v>
      </c>
      <c r="U213" s="495"/>
      <c r="V213" s="506"/>
      <c r="W213" s="506"/>
      <c r="X213" s="495"/>
      <c r="Y213" s="823" t="s">
        <v>413</v>
      </c>
      <c r="Z213" s="831"/>
      <c r="AA213" s="832"/>
      <c r="AB213" s="802"/>
      <c r="AC213" s="939" t="s">
        <v>413</v>
      </c>
      <c r="AD213" s="826" t="s">
        <v>413</v>
      </c>
      <c r="AE213" s="826"/>
      <c r="AF213" s="802"/>
    </row>
    <row r="214" spans="1:32" ht="14.25">
      <c r="A214" s="987">
        <v>4000</v>
      </c>
      <c r="B214" s="988"/>
      <c r="C214" s="1007" t="s">
        <v>564</v>
      </c>
      <c r="D214" s="989"/>
      <c r="E214" s="1022"/>
      <c r="F214" s="1023"/>
      <c r="G214" s="1024"/>
      <c r="H214" s="1025"/>
      <c r="I214" s="1025"/>
      <c r="J214" s="1026"/>
      <c r="K214" s="1026"/>
      <c r="L214" s="1021"/>
      <c r="M214" s="1026"/>
      <c r="N214" s="1263" t="s">
        <v>413</v>
      </c>
      <c r="O214" s="816" t="s">
        <v>413</v>
      </c>
      <c r="P214" s="809"/>
      <c r="Q214" s="609">
        <v>0.0333</v>
      </c>
      <c r="R214" s="610">
        <v>752.45</v>
      </c>
      <c r="S214" s="610">
        <v>217</v>
      </c>
      <c r="T214" s="1276" t="s">
        <v>413</v>
      </c>
      <c r="U214" s="608">
        <v>9.896500000000001</v>
      </c>
      <c r="V214" s="1025"/>
      <c r="W214" s="1025"/>
      <c r="X214" s="608">
        <v>0.9324000000000001</v>
      </c>
      <c r="Y214" s="833" t="s">
        <v>413</v>
      </c>
      <c r="Z214" s="820"/>
      <c r="AA214" s="821"/>
      <c r="AB214" s="822"/>
      <c r="AC214" s="938" t="s">
        <v>413</v>
      </c>
      <c r="AD214" s="822" t="s">
        <v>413</v>
      </c>
      <c r="AE214" s="822"/>
      <c r="AF214" s="801">
        <v>4000</v>
      </c>
    </row>
    <row r="215" spans="1:32" ht="14.25">
      <c r="A215" s="496"/>
      <c r="B215" s="761"/>
      <c r="C215" s="496"/>
      <c r="D215" s="508"/>
      <c r="E215" s="504"/>
      <c r="F215" s="509"/>
      <c r="G215" s="496"/>
      <c r="H215" s="506"/>
      <c r="I215" s="506"/>
      <c r="J215" s="764"/>
      <c r="K215" s="495"/>
      <c r="L215" s="496"/>
      <c r="M215" s="764"/>
      <c r="N215" s="500" t="s">
        <v>413</v>
      </c>
      <c r="O215" s="788" t="s">
        <v>413</v>
      </c>
      <c r="P215" s="810"/>
      <c r="Q215" s="507">
        <v>0.0333</v>
      </c>
      <c r="R215" s="201">
        <v>1648</v>
      </c>
      <c r="S215" s="201">
        <v>504</v>
      </c>
      <c r="T215" s="1277" t="s">
        <v>413</v>
      </c>
      <c r="U215" s="506">
        <v>21.92</v>
      </c>
      <c r="V215" s="506"/>
      <c r="W215" s="506"/>
      <c r="X215" s="506">
        <v>0.9324000000000001</v>
      </c>
      <c r="Y215" s="823" t="s">
        <v>413</v>
      </c>
      <c r="Z215" s="831"/>
      <c r="AA215" s="832"/>
      <c r="AB215" s="802"/>
      <c r="AC215" s="939" t="s">
        <v>413</v>
      </c>
      <c r="AD215" s="826" t="s">
        <v>413</v>
      </c>
      <c r="AE215" s="826"/>
      <c r="AF215" s="802"/>
    </row>
    <row r="216" spans="1:32" ht="14.25">
      <c r="A216" s="990">
        <v>4001</v>
      </c>
      <c r="B216" s="991"/>
      <c r="C216" s="991" t="s">
        <v>1209</v>
      </c>
      <c r="D216" s="1040">
        <v>35</v>
      </c>
      <c r="E216" s="1028">
        <v>4700</v>
      </c>
      <c r="F216" s="1041">
        <v>10</v>
      </c>
      <c r="G216" s="1067">
        <v>29</v>
      </c>
      <c r="H216" s="620">
        <v>25</v>
      </c>
      <c r="I216" s="620">
        <v>37</v>
      </c>
      <c r="J216" s="1043">
        <v>20</v>
      </c>
      <c r="K216" s="1032" t="s">
        <v>347</v>
      </c>
      <c r="L216" s="1251">
        <v>12</v>
      </c>
      <c r="M216" s="1043">
        <v>800</v>
      </c>
      <c r="N216" s="1264">
        <v>0.25</v>
      </c>
      <c r="O216" s="815">
        <v>0.85</v>
      </c>
      <c r="P216" s="812">
        <v>8</v>
      </c>
      <c r="Q216" s="609">
        <v>0.0333</v>
      </c>
      <c r="R216" s="610">
        <v>2430.8</v>
      </c>
      <c r="S216" s="610">
        <v>651</v>
      </c>
      <c r="T216" s="1278">
        <v>433.4</v>
      </c>
      <c r="U216" s="608">
        <v>31.408</v>
      </c>
      <c r="V216" s="620">
        <v>4.9937499999999995</v>
      </c>
      <c r="W216" s="613"/>
      <c r="X216" s="608">
        <v>0.9324000000000001</v>
      </c>
      <c r="Y216" s="846">
        <v>4.9937499999999995</v>
      </c>
      <c r="Z216" s="828">
        <v>10.265543749999999</v>
      </c>
      <c r="AA216" s="838">
        <v>29.330125</v>
      </c>
      <c r="AB216" s="830"/>
      <c r="AC216" s="940">
        <v>9.4</v>
      </c>
      <c r="AD216" s="830" t="s">
        <v>484</v>
      </c>
      <c r="AE216" s="830">
        <v>0</v>
      </c>
      <c r="AF216" s="803">
        <v>4001</v>
      </c>
    </row>
    <row r="217" spans="1:32" ht="14.25">
      <c r="A217" s="154">
        <v>4002</v>
      </c>
      <c r="B217" s="992"/>
      <c r="C217" s="992" t="s">
        <v>1017</v>
      </c>
      <c r="D217" s="510">
        <v>55</v>
      </c>
      <c r="E217" s="504">
        <v>13500</v>
      </c>
      <c r="F217" s="509">
        <v>44</v>
      </c>
      <c r="G217" s="1068">
        <v>79</v>
      </c>
      <c r="H217" s="511">
        <v>68</v>
      </c>
      <c r="I217" s="511">
        <v>98</v>
      </c>
      <c r="J217" s="766">
        <v>25</v>
      </c>
      <c r="K217" s="145" t="s">
        <v>347</v>
      </c>
      <c r="L217" s="492">
        <v>12</v>
      </c>
      <c r="M217" s="766">
        <v>900</v>
      </c>
      <c r="N217" s="500">
        <v>0.25</v>
      </c>
      <c r="O217" s="788">
        <v>1.35</v>
      </c>
      <c r="P217" s="492">
        <v>32</v>
      </c>
      <c r="Q217" s="507">
        <v>0.02</v>
      </c>
      <c r="R217" s="201">
        <v>141.55</v>
      </c>
      <c r="S217" s="201">
        <v>126</v>
      </c>
      <c r="T217" s="1277">
        <v>1299</v>
      </c>
      <c r="U217" s="521">
        <v>1.5075</v>
      </c>
      <c r="V217" s="511">
        <v>20.25</v>
      </c>
      <c r="W217" s="506"/>
      <c r="X217" s="521">
        <v>0.56</v>
      </c>
      <c r="Y217" s="848">
        <v>20.25</v>
      </c>
      <c r="Z217" s="831">
        <v>43.687050000000006</v>
      </c>
      <c r="AA217" s="861">
        <v>79.43100000000001</v>
      </c>
      <c r="AB217" s="826"/>
      <c r="AC217" s="939">
        <v>27</v>
      </c>
      <c r="AD217" s="826" t="s">
        <v>484</v>
      </c>
      <c r="AE217" s="826">
        <v>0</v>
      </c>
      <c r="AF217" s="804">
        <v>4002</v>
      </c>
    </row>
    <row r="218" spans="1:32" ht="14.25">
      <c r="A218" s="154">
        <v>4004</v>
      </c>
      <c r="B218" s="992"/>
      <c r="C218" s="992" t="s">
        <v>1018</v>
      </c>
      <c r="D218" s="510">
        <v>119</v>
      </c>
      <c r="E218" s="504">
        <v>9200</v>
      </c>
      <c r="F218" s="509">
        <v>40</v>
      </c>
      <c r="G218" s="1068">
        <v>33</v>
      </c>
      <c r="H218" s="511">
        <v>28</v>
      </c>
      <c r="I218" s="511">
        <v>42</v>
      </c>
      <c r="J218" s="766">
        <v>40</v>
      </c>
      <c r="K218" s="145" t="s">
        <v>347</v>
      </c>
      <c r="L218" s="492">
        <v>12</v>
      </c>
      <c r="M218" s="782">
        <v>1600</v>
      </c>
      <c r="N218" s="500">
        <v>0.25</v>
      </c>
      <c r="O218" s="788">
        <v>1.25</v>
      </c>
      <c r="P218" s="492">
        <v>29</v>
      </c>
      <c r="Q218" s="609">
        <v>0.02</v>
      </c>
      <c r="R218" s="610">
        <v>201.15</v>
      </c>
      <c r="S218" s="610">
        <v>140</v>
      </c>
      <c r="T218" s="1277">
        <v>928.4</v>
      </c>
      <c r="U218" s="634">
        <v>1.9252777777777774</v>
      </c>
      <c r="V218" s="511">
        <v>7.1875</v>
      </c>
      <c r="W218" s="506"/>
      <c r="X218" s="634">
        <v>0.56</v>
      </c>
      <c r="Y218" s="848">
        <v>7.1875</v>
      </c>
      <c r="Z218" s="831">
        <v>39.79032750000001</v>
      </c>
      <c r="AA218" s="861">
        <v>33.437250000000006</v>
      </c>
      <c r="AB218" s="826"/>
      <c r="AC218" s="939">
        <v>18.400000000000002</v>
      </c>
      <c r="AD218" s="826" t="s">
        <v>484</v>
      </c>
      <c r="AE218" s="826">
        <v>0</v>
      </c>
      <c r="AF218" s="804">
        <v>4004</v>
      </c>
    </row>
    <row r="219" spans="1:32" ht="14.25">
      <c r="A219" s="990">
        <v>4005</v>
      </c>
      <c r="B219" s="991"/>
      <c r="C219" s="991" t="s">
        <v>565</v>
      </c>
      <c r="D219" s="1040">
        <v>140</v>
      </c>
      <c r="E219" s="1028">
        <v>14500</v>
      </c>
      <c r="F219" s="1041">
        <v>54</v>
      </c>
      <c r="G219" s="1067">
        <v>38</v>
      </c>
      <c r="H219" s="620">
        <v>32</v>
      </c>
      <c r="I219" s="620">
        <v>49</v>
      </c>
      <c r="J219" s="1043">
        <v>50</v>
      </c>
      <c r="K219" s="1032" t="s">
        <v>347</v>
      </c>
      <c r="L219" s="1251">
        <v>12</v>
      </c>
      <c r="M219" s="1252">
        <v>2200</v>
      </c>
      <c r="N219" s="1264">
        <v>0.25</v>
      </c>
      <c r="O219" s="815">
        <v>1</v>
      </c>
      <c r="P219" s="812">
        <v>37</v>
      </c>
      <c r="Q219" s="507">
        <v>0.02</v>
      </c>
      <c r="R219" s="201">
        <v>335.25</v>
      </c>
      <c r="S219" s="201">
        <v>210</v>
      </c>
      <c r="T219" s="1278">
        <v>1411</v>
      </c>
      <c r="U219" s="521">
        <v>3.0791666666666666</v>
      </c>
      <c r="V219" s="620">
        <v>6.590909090909091</v>
      </c>
      <c r="W219" s="613"/>
      <c r="X219" s="521">
        <v>0.56</v>
      </c>
      <c r="Y219" s="846">
        <v>6.590909090909091</v>
      </c>
      <c r="Z219" s="828">
        <v>53.6088</v>
      </c>
      <c r="AA219" s="838">
        <v>38.292</v>
      </c>
      <c r="AB219" s="830"/>
      <c r="AC219" s="940">
        <v>29</v>
      </c>
      <c r="AD219" s="830" t="s">
        <v>484</v>
      </c>
      <c r="AE219" s="830">
        <v>0</v>
      </c>
      <c r="AF219" s="803">
        <v>4005</v>
      </c>
    </row>
    <row r="220" spans="1:32" ht="14.25">
      <c r="A220" s="154">
        <v>4006</v>
      </c>
      <c r="B220" s="992"/>
      <c r="C220" s="992" t="s">
        <v>566</v>
      </c>
      <c r="D220" s="510">
        <v>30</v>
      </c>
      <c r="E220" s="504">
        <v>26000</v>
      </c>
      <c r="F220" s="509">
        <v>60</v>
      </c>
      <c r="G220" s="1068">
        <v>200</v>
      </c>
      <c r="H220" s="511">
        <v>168</v>
      </c>
      <c r="I220" s="511">
        <v>255</v>
      </c>
      <c r="J220" s="766">
        <v>15</v>
      </c>
      <c r="K220" s="145" t="s">
        <v>347</v>
      </c>
      <c r="L220" s="492">
        <v>12</v>
      </c>
      <c r="M220" s="766">
        <v>800</v>
      </c>
      <c r="N220" s="500">
        <v>0.25</v>
      </c>
      <c r="O220" s="788">
        <v>1.05</v>
      </c>
      <c r="P220" s="492">
        <v>15</v>
      </c>
      <c r="Q220" s="495"/>
      <c r="R220" s="201" t="s">
        <v>413</v>
      </c>
      <c r="S220" s="499"/>
      <c r="T220" s="1277">
        <v>2222</v>
      </c>
      <c r="U220" s="495"/>
      <c r="V220" s="511">
        <v>34.125</v>
      </c>
      <c r="W220" s="506"/>
      <c r="X220" s="495"/>
      <c r="Y220" s="848">
        <v>34.125</v>
      </c>
      <c r="Z220" s="831">
        <v>60.145250000000004</v>
      </c>
      <c r="AA220" s="861">
        <v>200.48416666666668</v>
      </c>
      <c r="AB220" s="826"/>
      <c r="AC220" s="939">
        <v>52</v>
      </c>
      <c r="AD220" s="826" t="s">
        <v>484</v>
      </c>
      <c r="AE220" s="826">
        <v>0</v>
      </c>
      <c r="AF220" s="804">
        <v>4006</v>
      </c>
    </row>
    <row r="221" spans="1:32" ht="14.25">
      <c r="A221" s="990">
        <v>4007</v>
      </c>
      <c r="B221" s="991"/>
      <c r="C221" s="991" t="s">
        <v>567</v>
      </c>
      <c r="D221" s="1040">
        <v>45</v>
      </c>
      <c r="E221" s="1028">
        <v>37000</v>
      </c>
      <c r="F221" s="1041">
        <v>79</v>
      </c>
      <c r="G221" s="1067">
        <v>170</v>
      </c>
      <c r="H221" s="620">
        <v>150</v>
      </c>
      <c r="I221" s="620">
        <v>220</v>
      </c>
      <c r="J221" s="1043">
        <v>25</v>
      </c>
      <c r="K221" s="1032" t="s">
        <v>347</v>
      </c>
      <c r="L221" s="1251">
        <v>12</v>
      </c>
      <c r="M221" s="1252">
        <v>1200</v>
      </c>
      <c r="N221" s="1264">
        <v>0.25</v>
      </c>
      <c r="O221" s="815">
        <v>1.05</v>
      </c>
      <c r="P221" s="812">
        <v>22</v>
      </c>
      <c r="Q221" s="626"/>
      <c r="R221" s="627" t="s">
        <v>413</v>
      </c>
      <c r="S221" s="636"/>
      <c r="T221" s="1278">
        <v>3166</v>
      </c>
      <c r="U221" s="625"/>
      <c r="V221" s="620">
        <v>32.375</v>
      </c>
      <c r="W221" s="613"/>
      <c r="X221" s="625"/>
      <c r="Y221" s="846">
        <v>32.375</v>
      </c>
      <c r="Z221" s="828">
        <v>78.712425</v>
      </c>
      <c r="AA221" s="838">
        <v>174.91649999999998</v>
      </c>
      <c r="AB221" s="830"/>
      <c r="AC221" s="940">
        <v>74</v>
      </c>
      <c r="AD221" s="830" t="s">
        <v>484</v>
      </c>
      <c r="AE221" s="830">
        <v>0</v>
      </c>
      <c r="AF221" s="803">
        <v>4007</v>
      </c>
    </row>
    <row r="222" spans="1:32" ht="14.25">
      <c r="A222" s="154"/>
      <c r="B222" s="992"/>
      <c r="C222" s="154"/>
      <c r="E222" s="504"/>
      <c r="F222" s="493"/>
      <c r="G222" s="1104"/>
      <c r="H222" s="494"/>
      <c r="I222" s="494"/>
      <c r="L222" s="492"/>
      <c r="N222" s="500" t="s">
        <v>413</v>
      </c>
      <c r="O222" s="788" t="s">
        <v>413</v>
      </c>
      <c r="P222" s="492"/>
      <c r="Q222" s="507"/>
      <c r="R222" s="201" t="s">
        <v>413</v>
      </c>
      <c r="S222" s="206"/>
      <c r="T222" s="1277" t="s">
        <v>413</v>
      </c>
      <c r="U222" s="506"/>
      <c r="V222" s="494"/>
      <c r="W222" s="494"/>
      <c r="X222" s="506"/>
      <c r="Y222" s="823" t="s">
        <v>413</v>
      </c>
      <c r="Z222" s="850"/>
      <c r="AA222" s="839"/>
      <c r="AB222" s="826"/>
      <c r="AC222" s="939" t="s">
        <v>413</v>
      </c>
      <c r="AD222" s="826" t="s">
        <v>413</v>
      </c>
      <c r="AE222" s="541"/>
      <c r="AF222" s="804"/>
    </row>
    <row r="223" spans="1:32" ht="14.25">
      <c r="A223" s="987">
        <v>4020</v>
      </c>
      <c r="B223" s="988"/>
      <c r="C223" s="989" t="s">
        <v>568</v>
      </c>
      <c r="D223" s="1021"/>
      <c r="E223" s="1022"/>
      <c r="F223" s="1023"/>
      <c r="G223" s="1105"/>
      <c r="H223" s="1025"/>
      <c r="I223" s="1025"/>
      <c r="J223" s="1026"/>
      <c r="K223" s="1026"/>
      <c r="L223" s="1021"/>
      <c r="M223" s="1026"/>
      <c r="N223" s="1263" t="s">
        <v>413</v>
      </c>
      <c r="O223" s="816" t="s">
        <v>413</v>
      </c>
      <c r="P223" s="809"/>
      <c r="Q223" s="603"/>
      <c r="R223" s="605" t="s">
        <v>413</v>
      </c>
      <c r="S223" s="606"/>
      <c r="T223" s="1276" t="s">
        <v>413</v>
      </c>
      <c r="U223" s="604"/>
      <c r="V223" s="1025"/>
      <c r="W223" s="1025"/>
      <c r="X223" s="604"/>
      <c r="Y223" s="833" t="s">
        <v>413</v>
      </c>
      <c r="Z223" s="820"/>
      <c r="AA223" s="821"/>
      <c r="AB223" s="822"/>
      <c r="AC223" s="938" t="s">
        <v>413</v>
      </c>
      <c r="AD223" s="822" t="s">
        <v>413</v>
      </c>
      <c r="AE223" s="822"/>
      <c r="AF223" s="801">
        <v>4020</v>
      </c>
    </row>
    <row r="224" spans="1:32" ht="14.25">
      <c r="A224" s="496"/>
      <c r="B224" s="761"/>
      <c r="C224" s="496"/>
      <c r="D224" s="510"/>
      <c r="E224" s="504"/>
      <c r="F224" s="509"/>
      <c r="G224" s="1068"/>
      <c r="H224" s="511"/>
      <c r="I224" s="511"/>
      <c r="J224" s="766"/>
      <c r="K224" s="495"/>
      <c r="L224" s="496"/>
      <c r="M224" s="766"/>
      <c r="N224" s="500" t="s">
        <v>413</v>
      </c>
      <c r="O224" s="788" t="s">
        <v>413</v>
      </c>
      <c r="P224" s="810"/>
      <c r="Q224" s="507"/>
      <c r="R224" s="201" t="s">
        <v>413</v>
      </c>
      <c r="S224" s="201"/>
      <c r="T224" s="1277" t="s">
        <v>413</v>
      </c>
      <c r="U224" s="506"/>
      <c r="V224" s="511"/>
      <c r="W224" s="506"/>
      <c r="X224" s="506"/>
      <c r="Y224" s="823" t="s">
        <v>413</v>
      </c>
      <c r="Z224" s="831"/>
      <c r="AA224" s="861"/>
      <c r="AB224" s="802"/>
      <c r="AC224" s="939" t="s">
        <v>413</v>
      </c>
      <c r="AD224" s="826" t="s">
        <v>413</v>
      </c>
      <c r="AE224" s="826"/>
      <c r="AF224" s="802"/>
    </row>
    <row r="225" spans="1:32" ht="14.25">
      <c r="A225" s="990">
        <v>4021</v>
      </c>
      <c r="B225" s="991"/>
      <c r="C225" s="991" t="s">
        <v>569</v>
      </c>
      <c r="D225" s="1040">
        <v>32</v>
      </c>
      <c r="E225" s="1028">
        <v>10600</v>
      </c>
      <c r="F225" s="1041">
        <v>25</v>
      </c>
      <c r="G225" s="1067">
        <v>79</v>
      </c>
      <c r="H225" s="620">
        <v>68</v>
      </c>
      <c r="I225" s="620">
        <v>97</v>
      </c>
      <c r="J225" s="1043">
        <v>20</v>
      </c>
      <c r="K225" s="1032" t="s">
        <v>347</v>
      </c>
      <c r="L225" s="1251">
        <v>12</v>
      </c>
      <c r="M225" s="1252">
        <v>500</v>
      </c>
      <c r="N225" s="1264">
        <v>0.25</v>
      </c>
      <c r="O225" s="815">
        <v>1.05</v>
      </c>
      <c r="P225" s="812">
        <v>21</v>
      </c>
      <c r="Q225" s="609">
        <v>0.02</v>
      </c>
      <c r="R225" s="610">
        <v>443.7</v>
      </c>
      <c r="S225" s="610">
        <v>56</v>
      </c>
      <c r="T225" s="1278">
        <v>995.2</v>
      </c>
      <c r="U225" s="620">
        <v>25.494999999999997</v>
      </c>
      <c r="V225" s="620">
        <v>22.26</v>
      </c>
      <c r="W225" s="613"/>
      <c r="X225" s="620">
        <v>0.56</v>
      </c>
      <c r="Y225" s="846">
        <v>22.26</v>
      </c>
      <c r="Z225" s="828">
        <v>25.35104000000001</v>
      </c>
      <c r="AA225" s="838">
        <v>79.22200000000002</v>
      </c>
      <c r="AB225" s="830"/>
      <c r="AC225" s="940">
        <v>21.2</v>
      </c>
      <c r="AD225" s="830" t="s">
        <v>484</v>
      </c>
      <c r="AE225" s="830">
        <v>0</v>
      </c>
      <c r="AF225" s="803">
        <v>4021</v>
      </c>
    </row>
    <row r="226" spans="1:32" ht="14.25">
      <c r="A226" s="154">
        <v>4022</v>
      </c>
      <c r="B226" s="992"/>
      <c r="C226" s="992" t="s">
        <v>570</v>
      </c>
      <c r="D226" s="510">
        <v>47</v>
      </c>
      <c r="E226" s="504">
        <v>21000</v>
      </c>
      <c r="F226" s="509">
        <v>51</v>
      </c>
      <c r="G226" s="1068">
        <v>108</v>
      </c>
      <c r="H226" s="511">
        <v>94</v>
      </c>
      <c r="I226" s="511">
        <v>132</v>
      </c>
      <c r="J226" s="766">
        <v>30</v>
      </c>
      <c r="K226" s="145" t="s">
        <v>347</v>
      </c>
      <c r="L226" s="492">
        <v>12</v>
      </c>
      <c r="M226" s="782">
        <v>800</v>
      </c>
      <c r="N226" s="500">
        <v>0.25</v>
      </c>
      <c r="O226" s="788">
        <v>1.3</v>
      </c>
      <c r="P226" s="492">
        <v>34</v>
      </c>
      <c r="Q226" s="507">
        <v>0.2</v>
      </c>
      <c r="R226" s="201">
        <v>1348.5</v>
      </c>
      <c r="S226" s="201">
        <v>224</v>
      </c>
      <c r="T226" s="1277">
        <v>1926</v>
      </c>
      <c r="U226" s="511">
        <v>64.14</v>
      </c>
      <c r="V226" s="511">
        <v>34.125</v>
      </c>
      <c r="W226" s="506"/>
      <c r="X226" s="511">
        <v>5.6000000000000005</v>
      </c>
      <c r="Y226" s="848">
        <v>34.125</v>
      </c>
      <c r="Z226" s="831">
        <v>50.83402500000001</v>
      </c>
      <c r="AA226" s="861">
        <v>108.15750000000001</v>
      </c>
      <c r="AB226" s="826"/>
      <c r="AC226" s="939">
        <v>42</v>
      </c>
      <c r="AD226" s="826" t="s">
        <v>484</v>
      </c>
      <c r="AE226" s="826">
        <v>0</v>
      </c>
      <c r="AF226" s="804">
        <v>4022</v>
      </c>
    </row>
    <row r="227" spans="1:32" ht="14.25">
      <c r="A227" s="990">
        <v>4023</v>
      </c>
      <c r="B227" s="991"/>
      <c r="C227" s="991" t="s">
        <v>571</v>
      </c>
      <c r="D227" s="1040">
        <v>62</v>
      </c>
      <c r="E227" s="1028">
        <v>30000</v>
      </c>
      <c r="F227" s="1041">
        <v>74</v>
      </c>
      <c r="G227" s="1067">
        <v>119</v>
      </c>
      <c r="H227" s="620">
        <v>104</v>
      </c>
      <c r="I227" s="620">
        <v>144</v>
      </c>
      <c r="J227" s="1043">
        <v>40</v>
      </c>
      <c r="K227" s="1032" t="s">
        <v>347</v>
      </c>
      <c r="L227" s="1251">
        <v>12</v>
      </c>
      <c r="M227" s="1252">
        <v>1100</v>
      </c>
      <c r="N227" s="1264">
        <v>0.25</v>
      </c>
      <c r="O227" s="815">
        <v>1.5</v>
      </c>
      <c r="P227" s="812">
        <v>40</v>
      </c>
      <c r="Q227" s="609">
        <v>0.1</v>
      </c>
      <c r="R227" s="610">
        <v>556.8</v>
      </c>
      <c r="S227" s="610">
        <v>161</v>
      </c>
      <c r="T227" s="1278">
        <v>2700</v>
      </c>
      <c r="U227" s="620">
        <v>18.264999999999997</v>
      </c>
      <c r="V227" s="620">
        <v>40.90909090909091</v>
      </c>
      <c r="W227" s="613"/>
      <c r="X227" s="620">
        <v>2.8000000000000003</v>
      </c>
      <c r="Y227" s="846">
        <v>40.90909090909091</v>
      </c>
      <c r="Z227" s="828">
        <v>73.935</v>
      </c>
      <c r="AA227" s="838">
        <v>119.25</v>
      </c>
      <c r="AB227" s="830"/>
      <c r="AC227" s="940">
        <v>60</v>
      </c>
      <c r="AD227" s="830" t="s">
        <v>484</v>
      </c>
      <c r="AE227" s="830">
        <v>0</v>
      </c>
      <c r="AF227" s="803">
        <v>4023</v>
      </c>
    </row>
    <row r="228" spans="1:33" ht="14.25">
      <c r="A228" s="154">
        <v>4024</v>
      </c>
      <c r="B228" s="992"/>
      <c r="C228" s="992" t="s">
        <v>572</v>
      </c>
      <c r="D228" s="510">
        <v>78</v>
      </c>
      <c r="E228" s="504">
        <v>40000</v>
      </c>
      <c r="F228" s="509">
        <v>103</v>
      </c>
      <c r="G228" s="1068">
        <v>132</v>
      </c>
      <c r="H228" s="511">
        <v>116</v>
      </c>
      <c r="I228" s="511">
        <v>158</v>
      </c>
      <c r="J228" s="766">
        <v>50</v>
      </c>
      <c r="K228" s="145" t="s">
        <v>347</v>
      </c>
      <c r="L228" s="492">
        <v>12</v>
      </c>
      <c r="M228" s="782">
        <v>1400</v>
      </c>
      <c r="N228" s="500">
        <v>0.25</v>
      </c>
      <c r="O228" s="788">
        <v>1.65</v>
      </c>
      <c r="P228" s="492">
        <v>58</v>
      </c>
      <c r="Q228" s="507">
        <v>0.1</v>
      </c>
      <c r="R228" s="201">
        <v>774.3</v>
      </c>
      <c r="S228" s="201">
        <v>203</v>
      </c>
      <c r="T228" s="1277">
        <v>3628</v>
      </c>
      <c r="U228" s="511">
        <v>24.877499999999998</v>
      </c>
      <c r="V228" s="511">
        <v>47.142857142857146</v>
      </c>
      <c r="W228" s="506"/>
      <c r="X228" s="511">
        <v>2.8000000000000003</v>
      </c>
      <c r="Y228" s="848">
        <v>47.142857142857146</v>
      </c>
      <c r="Z228" s="831">
        <v>102.70505142857144</v>
      </c>
      <c r="AA228" s="861">
        <v>131.67314285714286</v>
      </c>
      <c r="AB228" s="826"/>
      <c r="AC228" s="939">
        <v>80</v>
      </c>
      <c r="AD228" s="826" t="s">
        <v>484</v>
      </c>
      <c r="AE228" s="826">
        <v>0</v>
      </c>
      <c r="AF228" s="804">
        <v>4024</v>
      </c>
      <c r="AG228" s="602"/>
    </row>
    <row r="229" spans="1:33" ht="14.25">
      <c r="A229" s="990">
        <v>4025</v>
      </c>
      <c r="B229" s="991"/>
      <c r="C229" s="991" t="s">
        <v>573</v>
      </c>
      <c r="D229" s="1040">
        <v>93</v>
      </c>
      <c r="E229" s="1028">
        <v>48000</v>
      </c>
      <c r="F229" s="1041">
        <v>125</v>
      </c>
      <c r="G229" s="1067">
        <v>134</v>
      </c>
      <c r="H229" s="620">
        <v>120</v>
      </c>
      <c r="I229" s="620">
        <v>160</v>
      </c>
      <c r="J229" s="1043">
        <v>60</v>
      </c>
      <c r="K229" s="1032" t="s">
        <v>347</v>
      </c>
      <c r="L229" s="1251">
        <v>12</v>
      </c>
      <c r="M229" s="1252">
        <v>1700</v>
      </c>
      <c r="N229" s="1264">
        <v>0.25</v>
      </c>
      <c r="O229" s="815">
        <v>1.65</v>
      </c>
      <c r="P229" s="812">
        <v>98</v>
      </c>
      <c r="Q229" s="609">
        <v>0.05</v>
      </c>
      <c r="R229" s="610">
        <v>1000.5</v>
      </c>
      <c r="S229" s="610">
        <v>259</v>
      </c>
      <c r="T229" s="1278">
        <v>4524</v>
      </c>
      <c r="U229" s="620">
        <v>25.65</v>
      </c>
      <c r="V229" s="620">
        <v>46.588235294117645</v>
      </c>
      <c r="W229" s="613"/>
      <c r="X229" s="620">
        <v>1.4000000000000001</v>
      </c>
      <c r="Y229" s="846">
        <v>46.588235294117645</v>
      </c>
      <c r="Z229" s="828">
        <v>124.79396470588237</v>
      </c>
      <c r="AA229" s="838">
        <v>134.18705882352944</v>
      </c>
      <c r="AB229" s="830"/>
      <c r="AC229" s="940">
        <v>96</v>
      </c>
      <c r="AD229" s="830" t="s">
        <v>484</v>
      </c>
      <c r="AE229" s="830">
        <v>0</v>
      </c>
      <c r="AF229" s="803">
        <v>4025</v>
      </c>
      <c r="AG229" s="496"/>
    </row>
    <row r="230" spans="1:33" ht="14.25">
      <c r="A230" s="496"/>
      <c r="B230" s="761"/>
      <c r="C230" s="496"/>
      <c r="D230" s="510"/>
      <c r="E230" s="504"/>
      <c r="F230" s="509"/>
      <c r="G230" s="1068"/>
      <c r="H230" s="511"/>
      <c r="I230" s="511"/>
      <c r="J230" s="766"/>
      <c r="K230" s="495"/>
      <c r="L230" s="496"/>
      <c r="M230" s="766"/>
      <c r="N230" s="500" t="s">
        <v>413</v>
      </c>
      <c r="O230" s="788" t="s">
        <v>413</v>
      </c>
      <c r="P230" s="810"/>
      <c r="Q230" s="507">
        <v>0.1</v>
      </c>
      <c r="R230" s="201">
        <v>1870.5</v>
      </c>
      <c r="S230" s="201">
        <v>105</v>
      </c>
      <c r="T230" s="1277" t="s">
        <v>413</v>
      </c>
      <c r="U230" s="511">
        <v>134.56666666666666</v>
      </c>
      <c r="V230" s="511"/>
      <c r="W230" s="506"/>
      <c r="X230" s="511">
        <v>2.8000000000000003</v>
      </c>
      <c r="Y230" s="848" t="s">
        <v>413</v>
      </c>
      <c r="Z230" s="831"/>
      <c r="AA230" s="861"/>
      <c r="AB230" s="802"/>
      <c r="AC230" s="939" t="s">
        <v>413</v>
      </c>
      <c r="AD230" s="826" t="s">
        <v>413</v>
      </c>
      <c r="AE230" s="826"/>
      <c r="AF230" s="802"/>
      <c r="AG230" s="607"/>
    </row>
    <row r="231" spans="1:33" ht="14.25">
      <c r="A231" s="987">
        <v>4030</v>
      </c>
      <c r="B231" s="988"/>
      <c r="C231" s="989" t="s">
        <v>574</v>
      </c>
      <c r="D231" s="1021"/>
      <c r="E231" s="1022"/>
      <c r="F231" s="1023"/>
      <c r="G231" s="1105"/>
      <c r="H231" s="1025"/>
      <c r="I231" s="1025"/>
      <c r="J231" s="1026"/>
      <c r="K231" s="1026"/>
      <c r="L231" s="1021"/>
      <c r="M231" s="1026"/>
      <c r="N231" s="1263" t="s">
        <v>413</v>
      </c>
      <c r="O231" s="816" t="s">
        <v>413</v>
      </c>
      <c r="P231" s="809"/>
      <c r="Q231" s="609">
        <v>0.1</v>
      </c>
      <c r="R231" s="610">
        <v>2958</v>
      </c>
      <c r="S231" s="610">
        <v>154</v>
      </c>
      <c r="T231" s="1276" t="s">
        <v>413</v>
      </c>
      <c r="U231" s="620">
        <v>127.2</v>
      </c>
      <c r="V231" s="1025"/>
      <c r="W231" s="1025"/>
      <c r="X231" s="620">
        <v>2.8000000000000003</v>
      </c>
      <c r="Y231" s="874" t="s">
        <v>413</v>
      </c>
      <c r="Z231" s="820"/>
      <c r="AA231" s="821"/>
      <c r="AB231" s="822"/>
      <c r="AC231" s="938" t="s">
        <v>413</v>
      </c>
      <c r="AD231" s="822" t="s">
        <v>413</v>
      </c>
      <c r="AE231" s="822"/>
      <c r="AF231" s="801">
        <v>4030</v>
      </c>
      <c r="AG231" s="496"/>
    </row>
    <row r="232" spans="1:32" ht="14.25">
      <c r="A232" s="496"/>
      <c r="B232" s="761"/>
      <c r="C232" s="496"/>
      <c r="D232" s="510"/>
      <c r="E232" s="504"/>
      <c r="F232" s="509"/>
      <c r="G232" s="1068"/>
      <c r="H232" s="511"/>
      <c r="I232" s="511"/>
      <c r="J232" s="766"/>
      <c r="K232" s="495"/>
      <c r="L232" s="496"/>
      <c r="M232" s="766"/>
      <c r="N232" s="500" t="s">
        <v>413</v>
      </c>
      <c r="O232" s="788" t="s">
        <v>413</v>
      </c>
      <c r="P232" s="810"/>
      <c r="Q232" s="492"/>
      <c r="R232" s="201" t="s">
        <v>413</v>
      </c>
      <c r="T232" s="1277" t="s">
        <v>413</v>
      </c>
      <c r="U232" s="494"/>
      <c r="V232" s="511"/>
      <c r="W232" s="506"/>
      <c r="X232" s="494"/>
      <c r="Y232" s="848" t="s">
        <v>413</v>
      </c>
      <c r="Z232" s="831"/>
      <c r="AA232" s="861"/>
      <c r="AB232" s="802"/>
      <c r="AC232" s="939" t="s">
        <v>413</v>
      </c>
      <c r="AD232" s="826" t="s">
        <v>413</v>
      </c>
      <c r="AE232" s="826"/>
      <c r="AF232" s="802"/>
    </row>
    <row r="233" spans="1:32" ht="14.25">
      <c r="A233" s="154">
        <v>4032</v>
      </c>
      <c r="B233" s="992"/>
      <c r="C233" s="992" t="s">
        <v>575</v>
      </c>
      <c r="D233" s="510">
        <v>142</v>
      </c>
      <c r="E233" s="504">
        <v>27000</v>
      </c>
      <c r="F233" s="509">
        <v>114</v>
      </c>
      <c r="G233" s="1068">
        <v>80</v>
      </c>
      <c r="H233" s="511">
        <v>67</v>
      </c>
      <c r="I233" s="511">
        <v>102</v>
      </c>
      <c r="J233" s="766">
        <v>35</v>
      </c>
      <c r="K233" s="145" t="s">
        <v>347</v>
      </c>
      <c r="L233" s="492">
        <v>15</v>
      </c>
      <c r="M233" s="782">
        <v>2200</v>
      </c>
      <c r="N233" s="500">
        <v>0.25</v>
      </c>
      <c r="O233" s="788">
        <v>1.1</v>
      </c>
      <c r="P233" s="492">
        <v>35</v>
      </c>
      <c r="Q233" s="603"/>
      <c r="R233" s="605" t="s">
        <v>413</v>
      </c>
      <c r="S233" s="606"/>
      <c r="T233" s="1277">
        <v>2086.5</v>
      </c>
      <c r="U233" s="604"/>
      <c r="V233" s="511">
        <v>13.500000000000002</v>
      </c>
      <c r="W233" s="506"/>
      <c r="X233" s="604"/>
      <c r="Y233" s="848">
        <v>13.500000000000002</v>
      </c>
      <c r="Z233" s="831">
        <v>114.20451428571431</v>
      </c>
      <c r="AA233" s="861">
        <v>80.42571428571429</v>
      </c>
      <c r="AB233" s="826"/>
      <c r="AC233" s="939">
        <v>54</v>
      </c>
      <c r="AD233" s="826" t="s">
        <v>484</v>
      </c>
      <c r="AE233" s="826">
        <v>0</v>
      </c>
      <c r="AF233" s="804">
        <v>4032</v>
      </c>
    </row>
    <row r="234" spans="1:32" ht="14.25">
      <c r="A234" s="990">
        <v>4033</v>
      </c>
      <c r="B234" s="991"/>
      <c r="C234" s="991" t="s">
        <v>576</v>
      </c>
      <c r="D234" s="1040">
        <v>192</v>
      </c>
      <c r="E234" s="1028">
        <v>40000</v>
      </c>
      <c r="F234" s="1041">
        <v>172</v>
      </c>
      <c r="G234" s="1067">
        <v>90</v>
      </c>
      <c r="H234" s="620">
        <v>75</v>
      </c>
      <c r="I234" s="620">
        <v>115</v>
      </c>
      <c r="J234" s="1043">
        <v>45</v>
      </c>
      <c r="K234" s="1032" t="s">
        <v>347</v>
      </c>
      <c r="L234" s="1251">
        <v>15</v>
      </c>
      <c r="M234" s="1252">
        <v>3000</v>
      </c>
      <c r="N234" s="1264">
        <v>0.25</v>
      </c>
      <c r="O234" s="815">
        <v>1.05</v>
      </c>
      <c r="P234" s="812">
        <v>44</v>
      </c>
      <c r="Q234" s="507"/>
      <c r="R234" s="201" t="s">
        <v>413</v>
      </c>
      <c r="S234" s="201"/>
      <c r="T234" s="1278">
        <v>3044</v>
      </c>
      <c r="U234" s="511"/>
      <c r="V234" s="620">
        <v>14.000000000000002</v>
      </c>
      <c r="W234" s="613"/>
      <c r="X234" s="511"/>
      <c r="Y234" s="846">
        <v>14.000000000000002</v>
      </c>
      <c r="Z234" s="828">
        <v>172.43306666666672</v>
      </c>
      <c r="AA234" s="838">
        <v>89.8088888888889</v>
      </c>
      <c r="AB234" s="830"/>
      <c r="AC234" s="940">
        <v>80</v>
      </c>
      <c r="AD234" s="830" t="s">
        <v>484</v>
      </c>
      <c r="AE234" s="830">
        <v>0</v>
      </c>
      <c r="AF234" s="803">
        <v>4033</v>
      </c>
    </row>
    <row r="235" spans="1:32" ht="14.25">
      <c r="A235" s="154">
        <v>4034</v>
      </c>
      <c r="B235" s="992"/>
      <c r="C235" s="992" t="s">
        <v>577</v>
      </c>
      <c r="D235" s="510">
        <v>142</v>
      </c>
      <c r="E235" s="504">
        <v>24000</v>
      </c>
      <c r="F235" s="509">
        <v>104</v>
      </c>
      <c r="G235" s="1068">
        <v>73</v>
      </c>
      <c r="H235" s="511">
        <v>60</v>
      </c>
      <c r="I235" s="511">
        <v>90</v>
      </c>
      <c r="J235" s="766">
        <v>35</v>
      </c>
      <c r="K235" s="145" t="s">
        <v>347</v>
      </c>
      <c r="L235" s="492">
        <v>15</v>
      </c>
      <c r="M235" s="782">
        <v>2000</v>
      </c>
      <c r="N235" s="500">
        <v>0.25</v>
      </c>
      <c r="O235" s="788">
        <v>1.1</v>
      </c>
      <c r="P235" s="492">
        <v>32</v>
      </c>
      <c r="Q235" s="609">
        <v>0.25</v>
      </c>
      <c r="R235" s="610">
        <v>983.1</v>
      </c>
      <c r="S235" s="610">
        <v>147</v>
      </c>
      <c r="T235" s="1277">
        <v>1860</v>
      </c>
      <c r="U235" s="620">
        <v>57.63499999999999</v>
      </c>
      <c r="V235" s="511">
        <v>13.200000000000001</v>
      </c>
      <c r="W235" s="506"/>
      <c r="X235" s="620">
        <v>7</v>
      </c>
      <c r="Y235" s="848">
        <v>13.200000000000001</v>
      </c>
      <c r="Z235" s="831">
        <v>103.62754285714287</v>
      </c>
      <c r="AA235" s="861">
        <v>72.97714285714287</v>
      </c>
      <c r="AB235" s="826"/>
      <c r="AC235" s="939">
        <v>48</v>
      </c>
      <c r="AD235" s="826" t="s">
        <v>484</v>
      </c>
      <c r="AE235" s="826">
        <v>0</v>
      </c>
      <c r="AF235" s="804">
        <v>4034</v>
      </c>
    </row>
    <row r="236" spans="1:32" ht="14.25">
      <c r="A236" s="990">
        <v>4035</v>
      </c>
      <c r="B236" s="991"/>
      <c r="C236" s="991" t="s">
        <v>578</v>
      </c>
      <c r="D236" s="1040">
        <v>192</v>
      </c>
      <c r="E236" s="1028">
        <v>41000</v>
      </c>
      <c r="F236" s="1041">
        <v>177</v>
      </c>
      <c r="G236" s="1067">
        <v>92</v>
      </c>
      <c r="H236" s="620">
        <v>80</v>
      </c>
      <c r="I236" s="620">
        <v>120</v>
      </c>
      <c r="J236" s="1043">
        <v>45</v>
      </c>
      <c r="K236" s="1032" t="s">
        <v>347</v>
      </c>
      <c r="L236" s="1251">
        <v>15</v>
      </c>
      <c r="M236" s="1252">
        <v>2800</v>
      </c>
      <c r="N236" s="1264">
        <v>0.25</v>
      </c>
      <c r="O236" s="815">
        <v>1.05</v>
      </c>
      <c r="P236" s="812">
        <v>38</v>
      </c>
      <c r="Q236" s="507">
        <v>0.25</v>
      </c>
      <c r="R236" s="201">
        <v>1653</v>
      </c>
      <c r="S236" s="201">
        <v>238</v>
      </c>
      <c r="T236" s="1278">
        <v>3077.5</v>
      </c>
      <c r="U236" s="511">
        <v>64.3</v>
      </c>
      <c r="V236" s="620">
        <v>15.375</v>
      </c>
      <c r="W236" s="613"/>
      <c r="X236" s="511">
        <v>7</v>
      </c>
      <c r="Y236" s="846">
        <v>15.375</v>
      </c>
      <c r="Z236" s="828">
        <v>176.90933333333334</v>
      </c>
      <c r="AA236" s="838">
        <v>92.14027777777778</v>
      </c>
      <c r="AB236" s="830"/>
      <c r="AC236" s="940">
        <v>82</v>
      </c>
      <c r="AD236" s="830" t="s">
        <v>484</v>
      </c>
      <c r="AE236" s="830">
        <v>0</v>
      </c>
      <c r="AF236" s="803">
        <v>4035</v>
      </c>
    </row>
    <row r="237" spans="1:32" ht="14.25">
      <c r="A237" s="990">
        <v>4038</v>
      </c>
      <c r="B237" s="991"/>
      <c r="C237" s="991" t="s">
        <v>579</v>
      </c>
      <c r="D237" s="1040">
        <v>158</v>
      </c>
      <c r="E237" s="1028">
        <v>8600</v>
      </c>
      <c r="F237" s="1041">
        <v>76</v>
      </c>
      <c r="G237" s="1067">
        <v>48</v>
      </c>
      <c r="H237" s="620">
        <v>41</v>
      </c>
      <c r="I237" s="620">
        <v>60</v>
      </c>
      <c r="J237" s="1043">
        <v>25</v>
      </c>
      <c r="K237" s="1032" t="s">
        <v>347</v>
      </c>
      <c r="L237" s="1251">
        <v>15</v>
      </c>
      <c r="M237" s="1252">
        <v>1200</v>
      </c>
      <c r="N237" s="1264">
        <v>0.25</v>
      </c>
      <c r="O237" s="815">
        <v>1.6</v>
      </c>
      <c r="P237" s="812">
        <v>35</v>
      </c>
      <c r="Q237" s="609">
        <v>0.16667</v>
      </c>
      <c r="R237" s="610">
        <v>2436</v>
      </c>
      <c r="S237" s="610">
        <v>280</v>
      </c>
      <c r="T237" s="1278">
        <v>807.7</v>
      </c>
      <c r="U237" s="620">
        <v>69.3</v>
      </c>
      <c r="V237" s="620">
        <v>11.466666666666669</v>
      </c>
      <c r="W237" s="613"/>
      <c r="X237" s="620">
        <v>4.66676</v>
      </c>
      <c r="Y237" s="846">
        <v>11.466666666666669</v>
      </c>
      <c r="Z237" s="828">
        <v>76.08037066666668</v>
      </c>
      <c r="AA237" s="838">
        <v>48.15213333333334</v>
      </c>
      <c r="AB237" s="830"/>
      <c r="AC237" s="940">
        <v>17.2</v>
      </c>
      <c r="AD237" s="830" t="s">
        <v>484</v>
      </c>
      <c r="AE237" s="830">
        <v>0</v>
      </c>
      <c r="AF237" s="803">
        <v>4038</v>
      </c>
    </row>
    <row r="238" spans="1:32" ht="14.25">
      <c r="A238" s="154">
        <v>4039</v>
      </c>
      <c r="B238" s="992"/>
      <c r="C238" s="992" t="s">
        <v>1335</v>
      </c>
      <c r="D238" s="510">
        <v>212</v>
      </c>
      <c r="E238" s="504">
        <v>13000</v>
      </c>
      <c r="F238" s="509">
        <v>95</v>
      </c>
      <c r="G238" s="1068">
        <v>45</v>
      </c>
      <c r="H238" s="511">
        <v>38</v>
      </c>
      <c r="I238" s="511">
        <v>56</v>
      </c>
      <c r="J238" s="766">
        <v>35</v>
      </c>
      <c r="K238" s="145" t="s">
        <v>347</v>
      </c>
      <c r="L238" s="492">
        <v>15</v>
      </c>
      <c r="M238" s="782">
        <v>1600</v>
      </c>
      <c r="N238" s="500">
        <v>0.25</v>
      </c>
      <c r="O238" s="788">
        <v>1.25</v>
      </c>
      <c r="P238" s="492">
        <v>28</v>
      </c>
      <c r="Q238" s="507">
        <v>0.1</v>
      </c>
      <c r="R238" s="201">
        <v>3393</v>
      </c>
      <c r="S238" s="201">
        <v>406</v>
      </c>
      <c r="T238" s="1277">
        <v>1071.5</v>
      </c>
      <c r="U238" s="511">
        <v>77.54</v>
      </c>
      <c r="V238" s="511">
        <v>10.15625</v>
      </c>
      <c r="W238" s="506"/>
      <c r="X238" s="511">
        <v>2.8000000000000003</v>
      </c>
      <c r="Y238" s="848">
        <v>10.15625</v>
      </c>
      <c r="Z238" s="831">
        <v>95.0768892857143</v>
      </c>
      <c r="AA238" s="861">
        <v>44.84758928571429</v>
      </c>
      <c r="AB238" s="826"/>
      <c r="AC238" s="939">
        <v>26</v>
      </c>
      <c r="AD238" s="826" t="s">
        <v>484</v>
      </c>
      <c r="AE238" s="826">
        <v>0</v>
      </c>
      <c r="AF238" s="804">
        <v>4039</v>
      </c>
    </row>
    <row r="239" spans="1:32" ht="14.25">
      <c r="A239" s="990">
        <v>4040</v>
      </c>
      <c r="B239" s="991"/>
      <c r="C239" s="991" t="s">
        <v>1336</v>
      </c>
      <c r="D239" s="1040">
        <v>307</v>
      </c>
      <c r="E239" s="1028">
        <v>19500</v>
      </c>
      <c r="F239" s="1041">
        <v>142</v>
      </c>
      <c r="G239" s="1067">
        <v>46</v>
      </c>
      <c r="H239" s="620">
        <v>39</v>
      </c>
      <c r="I239" s="620">
        <v>58</v>
      </c>
      <c r="J239" s="1043">
        <v>50</v>
      </c>
      <c r="K239" s="1032" t="s">
        <v>347</v>
      </c>
      <c r="L239" s="1251">
        <v>15</v>
      </c>
      <c r="M239" s="1252">
        <v>2400</v>
      </c>
      <c r="N239" s="1264">
        <v>0.25</v>
      </c>
      <c r="O239" s="815">
        <v>1.25</v>
      </c>
      <c r="P239" s="812">
        <v>39</v>
      </c>
      <c r="Q239" s="609">
        <v>0.05</v>
      </c>
      <c r="R239" s="610">
        <v>4437</v>
      </c>
      <c r="S239" s="610">
        <v>686</v>
      </c>
      <c r="T239" s="1278">
        <v>1589.25</v>
      </c>
      <c r="U239" s="620">
        <v>87.08333333333333</v>
      </c>
      <c r="V239" s="620">
        <v>10.15625</v>
      </c>
      <c r="W239" s="613"/>
      <c r="X239" s="620">
        <v>1.4000000000000001</v>
      </c>
      <c r="Y239" s="846">
        <v>10.15625</v>
      </c>
      <c r="Z239" s="828">
        <v>141.63560125</v>
      </c>
      <c r="AA239" s="838">
        <v>46.135375</v>
      </c>
      <c r="AB239" s="830"/>
      <c r="AC239" s="940">
        <v>39</v>
      </c>
      <c r="AD239" s="830" t="s">
        <v>484</v>
      </c>
      <c r="AE239" s="830">
        <v>0</v>
      </c>
      <c r="AF239" s="803">
        <v>4040</v>
      </c>
    </row>
    <row r="240" spans="1:32" ht="14.25">
      <c r="A240" s="496"/>
      <c r="B240" s="761"/>
      <c r="C240" s="496"/>
      <c r="D240" s="510"/>
      <c r="E240" s="504"/>
      <c r="F240" s="509"/>
      <c r="G240" s="1068"/>
      <c r="H240" s="511"/>
      <c r="I240" s="511"/>
      <c r="J240" s="766"/>
      <c r="K240" s="495"/>
      <c r="L240" s="496"/>
      <c r="M240" s="782"/>
      <c r="N240" s="500" t="s">
        <v>413</v>
      </c>
      <c r="O240" s="788" t="s">
        <v>413</v>
      </c>
      <c r="P240" s="810"/>
      <c r="Q240" s="507"/>
      <c r="R240" s="201" t="s">
        <v>413</v>
      </c>
      <c r="S240" s="201"/>
      <c r="T240" s="1277" t="s">
        <v>413</v>
      </c>
      <c r="U240" s="511"/>
      <c r="V240" s="511"/>
      <c r="W240" s="506"/>
      <c r="X240" s="511"/>
      <c r="Y240" s="848" t="s">
        <v>413</v>
      </c>
      <c r="Z240" s="831"/>
      <c r="AA240" s="861"/>
      <c r="AB240" s="802"/>
      <c r="AC240" s="939" t="s">
        <v>413</v>
      </c>
      <c r="AD240" s="826" t="s">
        <v>413</v>
      </c>
      <c r="AE240" s="826"/>
      <c r="AF240" s="802"/>
    </row>
    <row r="241" spans="1:32" ht="14.25">
      <c r="A241" s="987">
        <v>4050</v>
      </c>
      <c r="B241" s="988"/>
      <c r="C241" s="989" t="s">
        <v>580</v>
      </c>
      <c r="D241" s="1021"/>
      <c r="E241" s="1022"/>
      <c r="F241" s="1023"/>
      <c r="G241" s="1105"/>
      <c r="H241" s="1025"/>
      <c r="I241" s="1025"/>
      <c r="J241" s="1026"/>
      <c r="K241" s="1026"/>
      <c r="L241" s="1021"/>
      <c r="M241" s="1026"/>
      <c r="N241" s="1263" t="s">
        <v>413</v>
      </c>
      <c r="O241" s="816" t="s">
        <v>413</v>
      </c>
      <c r="P241" s="809"/>
      <c r="Q241" s="603"/>
      <c r="R241" s="605" t="s">
        <v>413</v>
      </c>
      <c r="S241" s="606"/>
      <c r="T241" s="1276" t="s">
        <v>413</v>
      </c>
      <c r="U241" s="604"/>
      <c r="V241" s="1025"/>
      <c r="W241" s="1025"/>
      <c r="X241" s="604"/>
      <c r="Y241" s="874" t="s">
        <v>413</v>
      </c>
      <c r="Z241" s="820"/>
      <c r="AA241" s="821"/>
      <c r="AB241" s="822"/>
      <c r="AC241" s="938" t="s">
        <v>413</v>
      </c>
      <c r="AD241" s="822" t="s">
        <v>413</v>
      </c>
      <c r="AE241" s="822"/>
      <c r="AF241" s="801">
        <v>4050</v>
      </c>
    </row>
    <row r="242" spans="1:32" ht="14.25">
      <c r="A242" s="496"/>
      <c r="B242" s="761"/>
      <c r="C242" s="496"/>
      <c r="D242" s="510"/>
      <c r="E242" s="504"/>
      <c r="F242" s="509"/>
      <c r="G242" s="1068"/>
      <c r="H242" s="511"/>
      <c r="I242" s="511"/>
      <c r="J242" s="766"/>
      <c r="K242" s="495"/>
      <c r="L242" s="496"/>
      <c r="M242" s="766"/>
      <c r="N242" s="500" t="s">
        <v>413</v>
      </c>
      <c r="O242" s="788" t="s">
        <v>413</v>
      </c>
      <c r="P242" s="810"/>
      <c r="Q242" s="507"/>
      <c r="R242" s="201" t="s">
        <v>413</v>
      </c>
      <c r="S242" s="201"/>
      <c r="T242" s="1277" t="s">
        <v>413</v>
      </c>
      <c r="U242" s="511"/>
      <c r="V242" s="511"/>
      <c r="W242" s="506"/>
      <c r="X242" s="511"/>
      <c r="Y242" s="848" t="s">
        <v>413</v>
      </c>
      <c r="Z242" s="831"/>
      <c r="AA242" s="861"/>
      <c r="AB242" s="802"/>
      <c r="AC242" s="939" t="s">
        <v>413</v>
      </c>
      <c r="AD242" s="826" t="s">
        <v>413</v>
      </c>
      <c r="AE242" s="826"/>
      <c r="AF242" s="802"/>
    </row>
    <row r="243" spans="1:32" ht="14.25">
      <c r="A243" s="990">
        <v>4053</v>
      </c>
      <c r="B243" s="991"/>
      <c r="C243" s="991" t="s">
        <v>581</v>
      </c>
      <c r="D243" s="1040">
        <v>65</v>
      </c>
      <c r="E243" s="1028">
        <v>8900</v>
      </c>
      <c r="F243" s="1041">
        <v>59</v>
      </c>
      <c r="G243" s="1067">
        <v>90</v>
      </c>
      <c r="H243" s="620">
        <v>77</v>
      </c>
      <c r="I243" s="620">
        <v>113</v>
      </c>
      <c r="J243" s="1043">
        <v>15</v>
      </c>
      <c r="K243" s="1032" t="s">
        <v>347</v>
      </c>
      <c r="L243" s="1251">
        <v>10</v>
      </c>
      <c r="M243" s="1043">
        <v>600</v>
      </c>
      <c r="N243" s="1264">
        <v>0.25</v>
      </c>
      <c r="O243" s="815">
        <v>1.35</v>
      </c>
      <c r="P243" s="812">
        <v>15</v>
      </c>
      <c r="Q243" s="609">
        <v>0.05</v>
      </c>
      <c r="R243" s="610">
        <v>894</v>
      </c>
      <c r="S243" s="610">
        <v>189</v>
      </c>
      <c r="T243" s="1278">
        <v>931.05</v>
      </c>
      <c r="U243" s="620">
        <v>55.35</v>
      </c>
      <c r="V243" s="620">
        <v>20.025000000000002</v>
      </c>
      <c r="W243" s="613"/>
      <c r="X243" s="620">
        <v>1.4000000000000001</v>
      </c>
      <c r="Y243" s="846">
        <v>20.025000000000002</v>
      </c>
      <c r="Z243" s="828">
        <v>58.697925000000005</v>
      </c>
      <c r="AA243" s="838">
        <v>90.3045</v>
      </c>
      <c r="AB243" s="830"/>
      <c r="AC243" s="940">
        <v>17.8</v>
      </c>
      <c r="AD243" s="830" t="s">
        <v>484</v>
      </c>
      <c r="AE243" s="830">
        <v>0</v>
      </c>
      <c r="AF243" s="803">
        <v>4053</v>
      </c>
    </row>
    <row r="244" spans="1:32" ht="14.25">
      <c r="A244" s="154">
        <v>4054</v>
      </c>
      <c r="B244" s="992"/>
      <c r="C244" s="992" t="s">
        <v>582</v>
      </c>
      <c r="D244" s="510">
        <v>76</v>
      </c>
      <c r="E244" s="504">
        <v>13000</v>
      </c>
      <c r="F244" s="509">
        <v>77</v>
      </c>
      <c r="G244" s="1068">
        <v>102</v>
      </c>
      <c r="H244" s="511">
        <v>87</v>
      </c>
      <c r="I244" s="511">
        <v>126</v>
      </c>
      <c r="J244" s="766">
        <v>20</v>
      </c>
      <c r="K244" s="145" t="s">
        <v>347</v>
      </c>
      <c r="L244" s="492">
        <v>10</v>
      </c>
      <c r="M244" s="766">
        <v>700</v>
      </c>
      <c r="N244" s="500">
        <v>0.25</v>
      </c>
      <c r="O244" s="788">
        <v>1.35</v>
      </c>
      <c r="P244" s="492">
        <v>20</v>
      </c>
      <c r="Q244" s="507">
        <v>0.05</v>
      </c>
      <c r="R244" s="201">
        <v>1676.25</v>
      </c>
      <c r="S244" s="201">
        <v>245</v>
      </c>
      <c r="T244" s="1277">
        <v>1348.5</v>
      </c>
      <c r="U244" s="511">
        <v>56.17857142857143</v>
      </c>
      <c r="V244" s="511">
        <v>25.071428571428577</v>
      </c>
      <c r="W244" s="506"/>
      <c r="X244" s="511">
        <v>1.4000000000000001</v>
      </c>
      <c r="Y244" s="848">
        <v>25.071428571428577</v>
      </c>
      <c r="Z244" s="831">
        <v>77.32701428571428</v>
      </c>
      <c r="AA244" s="861">
        <v>101.74607142857143</v>
      </c>
      <c r="AB244" s="826"/>
      <c r="AC244" s="939">
        <v>26</v>
      </c>
      <c r="AD244" s="826" t="s">
        <v>484</v>
      </c>
      <c r="AE244" s="826">
        <v>0</v>
      </c>
      <c r="AF244" s="804">
        <v>4054</v>
      </c>
    </row>
    <row r="245" spans="1:32" ht="14.25">
      <c r="A245" s="990">
        <v>4055</v>
      </c>
      <c r="B245" s="991"/>
      <c r="C245" s="991" t="s">
        <v>583</v>
      </c>
      <c r="D245" s="1040">
        <v>92</v>
      </c>
      <c r="E245" s="1028">
        <v>14000</v>
      </c>
      <c r="F245" s="1041">
        <v>74</v>
      </c>
      <c r="G245" s="1067">
        <v>81</v>
      </c>
      <c r="H245" s="620">
        <v>68</v>
      </c>
      <c r="I245" s="620">
        <v>102</v>
      </c>
      <c r="J245" s="1043">
        <v>25</v>
      </c>
      <c r="K245" s="1032" t="s">
        <v>347</v>
      </c>
      <c r="L245" s="1251">
        <v>10</v>
      </c>
      <c r="M245" s="1043">
        <v>800</v>
      </c>
      <c r="N245" s="1264">
        <v>0.25</v>
      </c>
      <c r="O245" s="815">
        <v>0.95</v>
      </c>
      <c r="P245" s="812">
        <v>16</v>
      </c>
      <c r="Q245" s="609">
        <v>0.025</v>
      </c>
      <c r="R245" s="610">
        <v>2831</v>
      </c>
      <c r="S245" s="610">
        <v>308</v>
      </c>
      <c r="T245" s="1278">
        <v>1419</v>
      </c>
      <c r="U245" s="620">
        <v>71.44444444444444</v>
      </c>
      <c r="V245" s="620">
        <v>16.625</v>
      </c>
      <c r="W245" s="613"/>
      <c r="X245" s="620">
        <v>0.7000000000000001</v>
      </c>
      <c r="Y245" s="846">
        <v>16.625</v>
      </c>
      <c r="Z245" s="828">
        <v>74.26562</v>
      </c>
      <c r="AA245" s="838">
        <v>80.7235</v>
      </c>
      <c r="AB245" s="830"/>
      <c r="AC245" s="940">
        <v>28</v>
      </c>
      <c r="AD245" s="830" t="s">
        <v>484</v>
      </c>
      <c r="AE245" s="830">
        <v>0</v>
      </c>
      <c r="AF245" s="803">
        <v>4055</v>
      </c>
    </row>
    <row r="246" spans="1:32" ht="14.25">
      <c r="A246" s="154">
        <v>4056</v>
      </c>
      <c r="B246" s="992"/>
      <c r="C246" s="992" t="s">
        <v>584</v>
      </c>
      <c r="D246" s="510">
        <v>109</v>
      </c>
      <c r="E246" s="504">
        <v>19500</v>
      </c>
      <c r="F246" s="509">
        <v>103</v>
      </c>
      <c r="G246" s="1068">
        <v>95</v>
      </c>
      <c r="H246" s="511">
        <v>80</v>
      </c>
      <c r="I246" s="511">
        <v>119</v>
      </c>
      <c r="J246" s="766">
        <v>30</v>
      </c>
      <c r="K246" s="145" t="s">
        <v>347</v>
      </c>
      <c r="L246" s="492">
        <v>10</v>
      </c>
      <c r="M246" s="782">
        <v>1000</v>
      </c>
      <c r="N246" s="500">
        <v>0.25</v>
      </c>
      <c r="O246" s="788">
        <v>1.05</v>
      </c>
      <c r="P246" s="492">
        <v>21</v>
      </c>
      <c r="Q246" s="507">
        <v>0.05</v>
      </c>
      <c r="R246" s="201">
        <v>2001</v>
      </c>
      <c r="S246" s="201">
        <v>224</v>
      </c>
      <c r="T246" s="1277">
        <v>1968.75</v>
      </c>
      <c r="U246" s="511">
        <v>90.84</v>
      </c>
      <c r="V246" s="511">
        <v>20.475</v>
      </c>
      <c r="W246" s="506"/>
      <c r="X246" s="511">
        <v>1.4000000000000001</v>
      </c>
      <c r="Y246" s="848">
        <v>20.475</v>
      </c>
      <c r="Z246" s="831">
        <v>103.2339</v>
      </c>
      <c r="AA246" s="861">
        <v>94.71000000000001</v>
      </c>
      <c r="AB246" s="826"/>
      <c r="AC246" s="939">
        <v>39</v>
      </c>
      <c r="AD246" s="826" t="s">
        <v>484</v>
      </c>
      <c r="AE246" s="826">
        <v>0</v>
      </c>
      <c r="AF246" s="804">
        <v>4056</v>
      </c>
    </row>
    <row r="247" spans="1:32" ht="14.25">
      <c r="A247" s="990">
        <v>4057</v>
      </c>
      <c r="B247" s="991"/>
      <c r="C247" s="993" t="s">
        <v>1019</v>
      </c>
      <c r="D247" s="1040">
        <v>140</v>
      </c>
      <c r="E247" s="1028">
        <v>31000</v>
      </c>
      <c r="F247" s="1041">
        <v>156</v>
      </c>
      <c r="G247" s="1067">
        <v>112</v>
      </c>
      <c r="H247" s="620">
        <v>95</v>
      </c>
      <c r="I247" s="620">
        <v>140</v>
      </c>
      <c r="J247" s="1043">
        <v>40</v>
      </c>
      <c r="K247" s="1032" t="s">
        <v>347</v>
      </c>
      <c r="L247" s="1251">
        <v>10</v>
      </c>
      <c r="M247" s="1252">
        <v>1400</v>
      </c>
      <c r="N247" s="1264">
        <v>0.25</v>
      </c>
      <c r="O247" s="815">
        <v>1.05</v>
      </c>
      <c r="P247" s="812">
        <v>34</v>
      </c>
      <c r="Q247" s="609">
        <v>0.0333</v>
      </c>
      <c r="R247" s="610">
        <v>3654</v>
      </c>
      <c r="S247" s="610">
        <v>266</v>
      </c>
      <c r="T247" s="1278">
        <v>3133.5</v>
      </c>
      <c r="U247" s="620">
        <v>114.4</v>
      </c>
      <c r="V247" s="620">
        <v>23.25</v>
      </c>
      <c r="W247" s="613"/>
      <c r="X247" s="620">
        <v>0.9324000000000001</v>
      </c>
      <c r="Y247" s="846">
        <v>23.25</v>
      </c>
      <c r="Z247" s="828">
        <v>156.44475000000003</v>
      </c>
      <c r="AA247" s="838">
        <v>111.74625000000002</v>
      </c>
      <c r="AB247" s="830"/>
      <c r="AC247" s="940">
        <v>62</v>
      </c>
      <c r="AD247" s="830" t="s">
        <v>484</v>
      </c>
      <c r="AE247" s="830">
        <v>0</v>
      </c>
      <c r="AF247" s="803">
        <v>4057</v>
      </c>
    </row>
    <row r="248" spans="1:32" ht="14.25">
      <c r="A248" s="154">
        <v>4058</v>
      </c>
      <c r="B248" s="992"/>
      <c r="C248" s="992" t="s">
        <v>585</v>
      </c>
      <c r="D248" s="510">
        <v>92</v>
      </c>
      <c r="E248" s="504">
        <v>17500</v>
      </c>
      <c r="F248" s="509">
        <v>94</v>
      </c>
      <c r="G248" s="1068">
        <v>102</v>
      </c>
      <c r="H248" s="511">
        <v>87</v>
      </c>
      <c r="I248" s="511">
        <v>129</v>
      </c>
      <c r="J248" s="766">
        <v>25</v>
      </c>
      <c r="K248" s="145" t="s">
        <v>347</v>
      </c>
      <c r="L248" s="492">
        <v>10</v>
      </c>
      <c r="M248" s="782">
        <v>1200</v>
      </c>
      <c r="N248" s="500">
        <v>0.25</v>
      </c>
      <c r="O248" s="788">
        <v>1.45</v>
      </c>
      <c r="P248" s="492">
        <v>24</v>
      </c>
      <c r="Q248" s="507">
        <v>0.05</v>
      </c>
      <c r="R248" s="201">
        <v>692.85</v>
      </c>
      <c r="S248" s="201">
        <v>224</v>
      </c>
      <c r="T248" s="1277">
        <v>1797.75</v>
      </c>
      <c r="U248" s="511">
        <v>37.418</v>
      </c>
      <c r="V248" s="511">
        <v>21.145833333333332</v>
      </c>
      <c r="W248" s="506"/>
      <c r="X248" s="511">
        <v>1.4000000000000001</v>
      </c>
      <c r="Y248" s="848">
        <v>21.145833333333332</v>
      </c>
      <c r="Z248" s="831">
        <v>94.17250333333334</v>
      </c>
      <c r="AA248" s="861">
        <v>102.36141666666667</v>
      </c>
      <c r="AB248" s="826"/>
      <c r="AC248" s="939">
        <v>35</v>
      </c>
      <c r="AD248" s="826" t="s">
        <v>484</v>
      </c>
      <c r="AE248" s="826">
        <v>0</v>
      </c>
      <c r="AF248" s="804">
        <v>4058</v>
      </c>
    </row>
    <row r="249" spans="1:32" ht="14.25">
      <c r="A249" s="990">
        <v>4059</v>
      </c>
      <c r="B249" s="991"/>
      <c r="C249" s="991" t="s">
        <v>586</v>
      </c>
      <c r="D249" s="1040">
        <v>109</v>
      </c>
      <c r="E249" s="1028">
        <v>19500</v>
      </c>
      <c r="F249" s="1041">
        <v>106</v>
      </c>
      <c r="G249" s="1067">
        <v>97</v>
      </c>
      <c r="H249" s="620">
        <v>82</v>
      </c>
      <c r="I249" s="620">
        <v>122</v>
      </c>
      <c r="J249" s="1043">
        <v>30</v>
      </c>
      <c r="K249" s="1032" t="s">
        <v>347</v>
      </c>
      <c r="L249" s="1251">
        <v>10</v>
      </c>
      <c r="M249" s="1252">
        <v>1400</v>
      </c>
      <c r="N249" s="1264">
        <v>0.25</v>
      </c>
      <c r="O249" s="815">
        <v>1.5</v>
      </c>
      <c r="P249" s="812">
        <v>30</v>
      </c>
      <c r="Q249" s="609">
        <v>0.05</v>
      </c>
      <c r="R249" s="610">
        <v>603.45</v>
      </c>
      <c r="S249" s="610">
        <v>245</v>
      </c>
      <c r="T249" s="1278">
        <v>2022.75</v>
      </c>
      <c r="U249" s="620">
        <v>34.586000000000006</v>
      </c>
      <c r="V249" s="620">
        <v>20.892857142857142</v>
      </c>
      <c r="W249" s="613"/>
      <c r="X249" s="620">
        <v>1.4000000000000001</v>
      </c>
      <c r="Y249" s="846">
        <v>20.892857142857142</v>
      </c>
      <c r="Z249" s="828">
        <v>105.8931107142857</v>
      </c>
      <c r="AA249" s="838">
        <v>97.14964285714285</v>
      </c>
      <c r="AB249" s="830"/>
      <c r="AC249" s="940">
        <v>39</v>
      </c>
      <c r="AD249" s="830" t="s">
        <v>484</v>
      </c>
      <c r="AE249" s="830">
        <v>0</v>
      </c>
      <c r="AF249" s="803">
        <v>4059</v>
      </c>
    </row>
    <row r="250" spans="1:32" ht="14.25">
      <c r="A250" s="496"/>
      <c r="B250" s="761"/>
      <c r="C250" s="496"/>
      <c r="D250" s="510"/>
      <c r="E250" s="504"/>
      <c r="F250" s="509"/>
      <c r="G250" s="1068"/>
      <c r="H250" s="511"/>
      <c r="I250" s="511"/>
      <c r="J250" s="766"/>
      <c r="K250" s="495"/>
      <c r="L250" s="496"/>
      <c r="M250" s="782"/>
      <c r="N250" s="500" t="s">
        <v>413</v>
      </c>
      <c r="O250" s="788" t="s">
        <v>413</v>
      </c>
      <c r="P250" s="810"/>
      <c r="Q250" s="507">
        <v>0.05</v>
      </c>
      <c r="R250" s="201">
        <v>931.25</v>
      </c>
      <c r="S250" s="201">
        <v>196</v>
      </c>
      <c r="T250" s="1277" t="s">
        <v>413</v>
      </c>
      <c r="U250" s="511">
        <v>32.92142857142857</v>
      </c>
      <c r="V250" s="511"/>
      <c r="W250" s="506"/>
      <c r="X250" s="511">
        <v>1.4000000000000001</v>
      </c>
      <c r="Y250" s="848" t="s">
        <v>413</v>
      </c>
      <c r="Z250" s="831"/>
      <c r="AA250" s="861"/>
      <c r="AB250" s="802"/>
      <c r="AC250" s="939" t="s">
        <v>413</v>
      </c>
      <c r="AD250" s="826" t="s">
        <v>413</v>
      </c>
      <c r="AE250" s="826"/>
      <c r="AF250" s="802"/>
    </row>
    <row r="251" spans="1:32" ht="14.25">
      <c r="A251" s="987">
        <v>4070</v>
      </c>
      <c r="B251" s="988"/>
      <c r="C251" s="989" t="s">
        <v>587</v>
      </c>
      <c r="D251" s="1021"/>
      <c r="E251" s="1022"/>
      <c r="F251" s="1023"/>
      <c r="G251" s="1105"/>
      <c r="H251" s="1025"/>
      <c r="I251" s="1025"/>
      <c r="J251" s="1026"/>
      <c r="K251" s="1026"/>
      <c r="L251" s="1021"/>
      <c r="M251" s="1026"/>
      <c r="N251" s="1263" t="s">
        <v>413</v>
      </c>
      <c r="O251" s="816" t="s">
        <v>413</v>
      </c>
      <c r="P251" s="809"/>
      <c r="Q251" s="609">
        <v>0.0333</v>
      </c>
      <c r="R251" s="610">
        <v>1490</v>
      </c>
      <c r="S251" s="610">
        <v>273</v>
      </c>
      <c r="T251" s="1276" t="s">
        <v>413</v>
      </c>
      <c r="U251" s="620">
        <v>36.06</v>
      </c>
      <c r="V251" s="1025"/>
      <c r="W251" s="1025"/>
      <c r="X251" s="620">
        <v>0.9324000000000001</v>
      </c>
      <c r="Y251" s="874" t="s">
        <v>413</v>
      </c>
      <c r="Z251" s="820"/>
      <c r="AA251" s="821"/>
      <c r="AB251" s="822"/>
      <c r="AC251" s="938" t="s">
        <v>413</v>
      </c>
      <c r="AD251" s="822" t="s">
        <v>413</v>
      </c>
      <c r="AE251" s="822"/>
      <c r="AF251" s="801">
        <v>4070</v>
      </c>
    </row>
    <row r="252" spans="1:32" ht="14.25">
      <c r="A252" s="496"/>
      <c r="B252" s="761"/>
      <c r="C252" s="496"/>
      <c r="D252" s="510"/>
      <c r="E252" s="504"/>
      <c r="F252" s="509"/>
      <c r="G252" s="1068"/>
      <c r="H252" s="511"/>
      <c r="I252" s="511"/>
      <c r="J252" s="766"/>
      <c r="K252" s="495"/>
      <c r="L252" s="496"/>
      <c r="M252" s="766"/>
      <c r="N252" s="500" t="s">
        <v>413</v>
      </c>
      <c r="O252" s="788" t="s">
        <v>413</v>
      </c>
      <c r="P252" s="810"/>
      <c r="Q252" s="507"/>
      <c r="R252" s="201" t="s">
        <v>413</v>
      </c>
      <c r="S252" s="201"/>
      <c r="T252" s="1277" t="s">
        <v>413</v>
      </c>
      <c r="U252" s="511"/>
      <c r="V252" s="511"/>
      <c r="W252" s="506"/>
      <c r="X252" s="511"/>
      <c r="Y252" s="848" t="s">
        <v>413</v>
      </c>
      <c r="Z252" s="831"/>
      <c r="AA252" s="861"/>
      <c r="AB252" s="802"/>
      <c r="AC252" s="939" t="s">
        <v>413</v>
      </c>
      <c r="AD252" s="826" t="s">
        <v>413</v>
      </c>
      <c r="AE252" s="826"/>
      <c r="AF252" s="802"/>
    </row>
    <row r="253" spans="1:32" ht="14.25">
      <c r="A253" s="154">
        <v>4072</v>
      </c>
      <c r="B253" s="992"/>
      <c r="C253" s="992" t="s">
        <v>588</v>
      </c>
      <c r="D253" s="510">
        <v>184</v>
      </c>
      <c r="E253" s="504">
        <v>5700</v>
      </c>
      <c r="F253" s="509">
        <v>29</v>
      </c>
      <c r="G253" s="1068">
        <v>15.5</v>
      </c>
      <c r="H253" s="511">
        <v>13</v>
      </c>
      <c r="I253" s="511">
        <v>20</v>
      </c>
      <c r="J253" s="766">
        <v>35</v>
      </c>
      <c r="K253" s="145" t="s">
        <v>347</v>
      </c>
      <c r="L253" s="492">
        <v>20</v>
      </c>
      <c r="M253" s="782">
        <v>3000</v>
      </c>
      <c r="N253" s="500">
        <v>0.25</v>
      </c>
      <c r="O253" s="788">
        <v>1.2</v>
      </c>
      <c r="P253" s="492">
        <v>16</v>
      </c>
      <c r="Q253" s="603"/>
      <c r="R253" s="605" t="s">
        <v>413</v>
      </c>
      <c r="S253" s="606"/>
      <c r="T253" s="1277">
        <v>420.9</v>
      </c>
      <c r="U253" s="604"/>
      <c r="V253" s="511">
        <v>2.28</v>
      </c>
      <c r="W253" s="506"/>
      <c r="X253" s="604"/>
      <c r="Y253" s="848">
        <v>2.28</v>
      </c>
      <c r="Z253" s="831">
        <v>28.954765714285713</v>
      </c>
      <c r="AA253" s="861">
        <v>15.736285714285714</v>
      </c>
      <c r="AB253" s="826"/>
      <c r="AC253" s="939">
        <v>11.4</v>
      </c>
      <c r="AD253" s="826" t="s">
        <v>484</v>
      </c>
      <c r="AE253" s="826">
        <v>0</v>
      </c>
      <c r="AF253" s="804">
        <v>4072</v>
      </c>
    </row>
    <row r="254" spans="1:32" ht="14.25">
      <c r="A254" s="990">
        <v>4073</v>
      </c>
      <c r="B254" s="991"/>
      <c r="C254" s="991" t="s">
        <v>589</v>
      </c>
      <c r="D254" s="1040">
        <v>303</v>
      </c>
      <c r="E254" s="1028">
        <v>14000</v>
      </c>
      <c r="F254" s="1041">
        <v>84</v>
      </c>
      <c r="G254" s="1067">
        <v>28</v>
      </c>
      <c r="H254" s="620">
        <v>23</v>
      </c>
      <c r="I254" s="620">
        <v>36</v>
      </c>
      <c r="J254" s="1043">
        <v>50</v>
      </c>
      <c r="K254" s="1032" t="s">
        <v>347</v>
      </c>
      <c r="L254" s="1251">
        <v>20</v>
      </c>
      <c r="M254" s="1252">
        <v>5000</v>
      </c>
      <c r="N254" s="1264">
        <v>0.25</v>
      </c>
      <c r="O254" s="815">
        <v>0.75</v>
      </c>
      <c r="P254" s="812">
        <v>59</v>
      </c>
      <c r="Q254" s="507"/>
      <c r="R254" s="201" t="s">
        <v>413</v>
      </c>
      <c r="S254" s="201"/>
      <c r="T254" s="1278">
        <v>1152</v>
      </c>
      <c r="U254" s="511"/>
      <c r="V254" s="620">
        <v>2.0999999999999996</v>
      </c>
      <c r="W254" s="613"/>
      <c r="X254" s="511"/>
      <c r="Y254" s="846">
        <v>2.0999999999999996</v>
      </c>
      <c r="Z254" s="828">
        <v>83.79162000000001</v>
      </c>
      <c r="AA254" s="838">
        <v>27.654000000000003</v>
      </c>
      <c r="AB254" s="830"/>
      <c r="AC254" s="940">
        <v>28</v>
      </c>
      <c r="AD254" s="830" t="s">
        <v>484</v>
      </c>
      <c r="AE254" s="830">
        <v>0</v>
      </c>
      <c r="AF254" s="803">
        <v>4073</v>
      </c>
    </row>
    <row r="255" spans="1:32" ht="14.25">
      <c r="A255" s="154">
        <v>4074</v>
      </c>
      <c r="B255" s="992"/>
      <c r="C255" s="992" t="s">
        <v>1020</v>
      </c>
      <c r="D255" s="510">
        <v>156</v>
      </c>
      <c r="E255" s="504">
        <v>4700</v>
      </c>
      <c r="F255" s="509">
        <v>36</v>
      </c>
      <c r="G255" s="1068">
        <v>23</v>
      </c>
      <c r="H255" s="511">
        <v>19</v>
      </c>
      <c r="I255" s="511">
        <v>29</v>
      </c>
      <c r="J255" s="766">
        <v>20</v>
      </c>
      <c r="K255" s="145" t="s">
        <v>347</v>
      </c>
      <c r="L255" s="492">
        <v>20</v>
      </c>
      <c r="M255" s="782">
        <v>1500</v>
      </c>
      <c r="N255" s="500">
        <v>0.25</v>
      </c>
      <c r="O255" s="788">
        <v>0.9</v>
      </c>
      <c r="P255" s="492">
        <v>15</v>
      </c>
      <c r="Q255" s="609">
        <v>0.1</v>
      </c>
      <c r="R255" s="610">
        <v>845.75</v>
      </c>
      <c r="S255" s="610">
        <v>105</v>
      </c>
      <c r="T255" s="1277">
        <v>357.9</v>
      </c>
      <c r="U255" s="620">
        <v>64.51666666666667</v>
      </c>
      <c r="V255" s="511">
        <v>2.82</v>
      </c>
      <c r="W255" s="506"/>
      <c r="X255" s="620">
        <v>2.8000000000000003</v>
      </c>
      <c r="Y255" s="848">
        <v>2.82</v>
      </c>
      <c r="Z255" s="831">
        <v>35.54694</v>
      </c>
      <c r="AA255" s="861">
        <v>22.7865</v>
      </c>
      <c r="AB255" s="826"/>
      <c r="AC255" s="939">
        <v>9.4</v>
      </c>
      <c r="AD255" s="826" t="s">
        <v>484</v>
      </c>
      <c r="AE255" s="826">
        <v>0</v>
      </c>
      <c r="AF255" s="804">
        <v>4074</v>
      </c>
    </row>
    <row r="256" spans="1:32" ht="14.25">
      <c r="A256" s="990">
        <v>4075</v>
      </c>
      <c r="B256" s="991"/>
      <c r="C256" s="991" t="s">
        <v>1021</v>
      </c>
      <c r="D256" s="1040">
        <v>184</v>
      </c>
      <c r="E256" s="1028">
        <v>5300</v>
      </c>
      <c r="F256" s="1041">
        <v>38</v>
      </c>
      <c r="G256" s="1067">
        <v>21</v>
      </c>
      <c r="H256" s="620">
        <v>17</v>
      </c>
      <c r="I256" s="620">
        <v>26</v>
      </c>
      <c r="J256" s="1043">
        <v>25</v>
      </c>
      <c r="K256" s="1032" t="s">
        <v>347</v>
      </c>
      <c r="L256" s="1251">
        <v>20</v>
      </c>
      <c r="M256" s="1252">
        <v>1800</v>
      </c>
      <c r="N256" s="1264">
        <v>0.25</v>
      </c>
      <c r="O256" s="815">
        <v>0.95</v>
      </c>
      <c r="P256" s="812">
        <v>16</v>
      </c>
      <c r="Q256" s="507">
        <v>0.1</v>
      </c>
      <c r="R256" s="201">
        <v>1243.75</v>
      </c>
      <c r="S256" s="201">
        <v>140</v>
      </c>
      <c r="T256" s="1278">
        <v>398.1</v>
      </c>
      <c r="U256" s="511">
        <v>70.4375</v>
      </c>
      <c r="V256" s="620">
        <v>2.7972222222222225</v>
      </c>
      <c r="W256" s="613"/>
      <c r="X256" s="511">
        <v>2.8000000000000003</v>
      </c>
      <c r="Y256" s="846">
        <v>2.7972222222222225</v>
      </c>
      <c r="Z256" s="828">
        <v>37.89175377777779</v>
      </c>
      <c r="AA256" s="838">
        <v>20.593344444444448</v>
      </c>
      <c r="AB256" s="830"/>
      <c r="AC256" s="940">
        <v>10.6</v>
      </c>
      <c r="AD256" s="830" t="s">
        <v>484</v>
      </c>
      <c r="AE256" s="830">
        <v>0</v>
      </c>
      <c r="AF256" s="803">
        <v>4075</v>
      </c>
    </row>
    <row r="257" spans="1:32" ht="14.25">
      <c r="A257" s="154">
        <v>4076</v>
      </c>
      <c r="B257" s="992"/>
      <c r="C257" s="992" t="s">
        <v>590</v>
      </c>
      <c r="D257" s="510">
        <v>365</v>
      </c>
      <c r="E257" s="504">
        <v>15500</v>
      </c>
      <c r="F257" s="509">
        <v>107</v>
      </c>
      <c r="G257" s="1068">
        <v>29</v>
      </c>
      <c r="H257" s="511">
        <v>24</v>
      </c>
      <c r="I257" s="511">
        <v>38</v>
      </c>
      <c r="J257" s="766">
        <v>50</v>
      </c>
      <c r="K257" s="145" t="s">
        <v>347</v>
      </c>
      <c r="L257" s="492">
        <v>20</v>
      </c>
      <c r="M257" s="782">
        <v>3600</v>
      </c>
      <c r="N257" s="500">
        <v>0.25</v>
      </c>
      <c r="O257" s="788">
        <v>0.75</v>
      </c>
      <c r="P257" s="492">
        <v>47</v>
      </c>
      <c r="Q257" s="609">
        <v>0.1</v>
      </c>
      <c r="R257" s="610">
        <v>1243.75</v>
      </c>
      <c r="S257" s="610">
        <v>112</v>
      </c>
      <c r="T257" s="1277">
        <v>1165.5</v>
      </c>
      <c r="U257" s="620">
        <v>55.23</v>
      </c>
      <c r="V257" s="511">
        <v>3.2291666666666665</v>
      </c>
      <c r="W257" s="506"/>
      <c r="X257" s="620">
        <v>2.8000000000000003</v>
      </c>
      <c r="Y257" s="848">
        <v>3.2291666666666665</v>
      </c>
      <c r="Z257" s="831">
        <v>106.55475416666667</v>
      </c>
      <c r="AA257" s="861">
        <v>29.193083333333334</v>
      </c>
      <c r="AB257" s="826"/>
      <c r="AC257" s="939">
        <v>31</v>
      </c>
      <c r="AD257" s="826" t="s">
        <v>484</v>
      </c>
      <c r="AE257" s="826">
        <v>0</v>
      </c>
      <c r="AF257" s="804">
        <v>4076</v>
      </c>
    </row>
    <row r="258" spans="1:32" ht="14.25">
      <c r="A258" s="990">
        <v>4077</v>
      </c>
      <c r="B258" s="991"/>
      <c r="C258" s="991" t="s">
        <v>591</v>
      </c>
      <c r="D258" s="1040">
        <v>492</v>
      </c>
      <c r="E258" s="1028">
        <v>23000</v>
      </c>
      <c r="F258" s="1041">
        <v>154</v>
      </c>
      <c r="G258" s="1067">
        <v>31</v>
      </c>
      <c r="H258" s="620">
        <v>26</v>
      </c>
      <c r="I258" s="620">
        <v>40</v>
      </c>
      <c r="J258" s="1043">
        <v>65</v>
      </c>
      <c r="K258" s="1032" t="s">
        <v>347</v>
      </c>
      <c r="L258" s="1251">
        <v>20</v>
      </c>
      <c r="M258" s="1252">
        <v>4800</v>
      </c>
      <c r="N258" s="1264">
        <v>0.25</v>
      </c>
      <c r="O258" s="815">
        <v>0.7</v>
      </c>
      <c r="P258" s="812">
        <v>53</v>
      </c>
      <c r="Q258" s="507">
        <v>0.1</v>
      </c>
      <c r="R258" s="201">
        <v>1691.5</v>
      </c>
      <c r="S258" s="201">
        <v>147</v>
      </c>
      <c r="T258" s="1278">
        <v>1629</v>
      </c>
      <c r="U258" s="511">
        <v>62.416666666666664</v>
      </c>
      <c r="V258" s="620">
        <v>3.3541666666666665</v>
      </c>
      <c r="W258" s="613"/>
      <c r="X258" s="511">
        <v>2.8000000000000003</v>
      </c>
      <c r="Y258" s="846">
        <v>3.3541666666666665</v>
      </c>
      <c r="Z258" s="828">
        <v>153.78579615384618</v>
      </c>
      <c r="AA258" s="838">
        <v>31.257275641025643</v>
      </c>
      <c r="AB258" s="830"/>
      <c r="AC258" s="940">
        <v>46</v>
      </c>
      <c r="AD258" s="830" t="s">
        <v>484</v>
      </c>
      <c r="AE258" s="830">
        <v>0</v>
      </c>
      <c r="AF258" s="803">
        <v>4077</v>
      </c>
    </row>
    <row r="259" spans="1:32" ht="14.25">
      <c r="A259" s="496"/>
      <c r="B259" s="761"/>
      <c r="C259" s="496"/>
      <c r="D259" s="510"/>
      <c r="E259" s="504"/>
      <c r="F259" s="509"/>
      <c r="G259" s="1068"/>
      <c r="H259" s="511"/>
      <c r="I259" s="511"/>
      <c r="J259" s="766"/>
      <c r="K259" s="495"/>
      <c r="L259" s="496"/>
      <c r="M259" s="782"/>
      <c r="N259" s="500" t="s">
        <v>413</v>
      </c>
      <c r="O259" s="788" t="s">
        <v>413</v>
      </c>
      <c r="P259" s="810"/>
      <c r="Q259" s="609">
        <v>0.1</v>
      </c>
      <c r="R259" s="610">
        <v>2985</v>
      </c>
      <c r="S259" s="610">
        <v>238</v>
      </c>
      <c r="T259" s="1277" t="s">
        <v>413</v>
      </c>
      <c r="U259" s="620">
        <v>82.075</v>
      </c>
      <c r="V259" s="511"/>
      <c r="W259" s="506"/>
      <c r="X259" s="620">
        <v>2.8000000000000003</v>
      </c>
      <c r="Y259" s="848" t="s">
        <v>413</v>
      </c>
      <c r="Z259" s="831"/>
      <c r="AA259" s="861"/>
      <c r="AB259" s="802"/>
      <c r="AC259" s="939" t="s">
        <v>413</v>
      </c>
      <c r="AD259" s="826" t="s">
        <v>413</v>
      </c>
      <c r="AE259" s="826"/>
      <c r="AF259" s="802"/>
    </row>
    <row r="260" spans="1:32" ht="14.25">
      <c r="A260" s="987">
        <v>4090</v>
      </c>
      <c r="B260" s="988"/>
      <c r="C260" s="989" t="s">
        <v>592</v>
      </c>
      <c r="D260" s="1021"/>
      <c r="E260" s="1022"/>
      <c r="F260" s="1023"/>
      <c r="G260" s="1105"/>
      <c r="H260" s="1025"/>
      <c r="I260" s="1025"/>
      <c r="J260" s="1026"/>
      <c r="K260" s="1026"/>
      <c r="L260" s="1021"/>
      <c r="M260" s="1026"/>
      <c r="N260" s="1263" t="s">
        <v>413</v>
      </c>
      <c r="O260" s="816" t="s">
        <v>413</v>
      </c>
      <c r="P260" s="809"/>
      <c r="Q260" s="507">
        <v>0.1</v>
      </c>
      <c r="R260" s="201">
        <v>1542.25</v>
      </c>
      <c r="S260" s="201">
        <v>168</v>
      </c>
      <c r="T260" s="1276" t="s">
        <v>413</v>
      </c>
      <c r="U260" s="511">
        <v>69.65</v>
      </c>
      <c r="V260" s="1025"/>
      <c r="W260" s="1025"/>
      <c r="X260" s="511">
        <v>2.8000000000000003</v>
      </c>
      <c r="Y260" s="874" t="s">
        <v>413</v>
      </c>
      <c r="Z260" s="820"/>
      <c r="AA260" s="821"/>
      <c r="AB260" s="822"/>
      <c r="AC260" s="938" t="s">
        <v>413</v>
      </c>
      <c r="AD260" s="822" t="s">
        <v>413</v>
      </c>
      <c r="AE260" s="822"/>
      <c r="AF260" s="801">
        <v>4090</v>
      </c>
    </row>
    <row r="261" spans="1:32" ht="14.25">
      <c r="A261" s="496"/>
      <c r="B261" s="761"/>
      <c r="C261" s="496"/>
      <c r="D261" s="510"/>
      <c r="E261" s="504"/>
      <c r="F261" s="509"/>
      <c r="G261" s="1068"/>
      <c r="H261" s="511"/>
      <c r="I261" s="511"/>
      <c r="J261" s="766"/>
      <c r="K261" s="495"/>
      <c r="L261" s="496"/>
      <c r="M261" s="782"/>
      <c r="N261" s="500" t="s">
        <v>413</v>
      </c>
      <c r="O261" s="788" t="s">
        <v>413</v>
      </c>
      <c r="P261" s="810"/>
      <c r="Q261" s="609">
        <v>0.1</v>
      </c>
      <c r="R261" s="610">
        <v>1791</v>
      </c>
      <c r="S261" s="610">
        <v>210</v>
      </c>
      <c r="T261" s="1277" t="s">
        <v>413</v>
      </c>
      <c r="U261" s="620">
        <v>67.9</v>
      </c>
      <c r="V261" s="511"/>
      <c r="W261" s="506"/>
      <c r="X261" s="620">
        <v>2.8000000000000003</v>
      </c>
      <c r="Y261" s="848" t="s">
        <v>413</v>
      </c>
      <c r="Z261" s="831"/>
      <c r="AA261" s="861"/>
      <c r="AB261" s="802"/>
      <c r="AC261" s="939" t="s">
        <v>413</v>
      </c>
      <c r="AD261" s="826" t="s">
        <v>413</v>
      </c>
      <c r="AE261" s="826"/>
      <c r="AF261" s="802"/>
    </row>
    <row r="262" spans="1:32" ht="14.25">
      <c r="A262" s="154">
        <v>4092</v>
      </c>
      <c r="B262" s="992"/>
      <c r="C262" s="992" t="s">
        <v>593</v>
      </c>
      <c r="D262" s="510"/>
      <c r="E262" s="504">
        <v>3400</v>
      </c>
      <c r="F262" s="509"/>
      <c r="G262" s="1068">
        <v>15.5</v>
      </c>
      <c r="H262" s="511">
        <v>13</v>
      </c>
      <c r="I262" s="511">
        <v>20</v>
      </c>
      <c r="J262" s="766">
        <v>25</v>
      </c>
      <c r="K262" s="145" t="s">
        <v>347</v>
      </c>
      <c r="L262" s="492">
        <v>12</v>
      </c>
      <c r="M262" s="782">
        <v>1200</v>
      </c>
      <c r="N262" s="500">
        <v>0.25</v>
      </c>
      <c r="O262" s="788">
        <v>1</v>
      </c>
      <c r="P262" s="492">
        <v>0.5</v>
      </c>
      <c r="Q262" s="507"/>
      <c r="R262" s="201" t="s">
        <v>413</v>
      </c>
      <c r="S262" s="201"/>
      <c r="T262" s="1277">
        <v>281.8</v>
      </c>
      <c r="U262" s="511"/>
      <c r="V262" s="511">
        <v>2.8333333333333335</v>
      </c>
      <c r="W262" s="506"/>
      <c r="X262" s="511"/>
      <c r="Y262" s="848">
        <v>2.8333333333333335</v>
      </c>
      <c r="Z262" s="831"/>
      <c r="AA262" s="861">
        <v>15.51586666666667</v>
      </c>
      <c r="AB262" s="826"/>
      <c r="AC262" s="939">
        <v>6.8</v>
      </c>
      <c r="AD262" s="826" t="s">
        <v>484</v>
      </c>
      <c r="AE262" s="826">
        <v>0</v>
      </c>
      <c r="AF262" s="804">
        <v>4092</v>
      </c>
    </row>
    <row r="263" spans="1:32" ht="14.25">
      <c r="A263" s="990">
        <v>4093</v>
      </c>
      <c r="B263" s="991"/>
      <c r="C263" s="991" t="s">
        <v>594</v>
      </c>
      <c r="D263" s="1040"/>
      <c r="E263" s="1028">
        <v>6600</v>
      </c>
      <c r="F263" s="1041"/>
      <c r="G263" s="1067">
        <v>29</v>
      </c>
      <c r="H263" s="620">
        <v>25</v>
      </c>
      <c r="I263" s="620">
        <v>36</v>
      </c>
      <c r="J263" s="1043">
        <v>30</v>
      </c>
      <c r="K263" s="1032" t="s">
        <v>347</v>
      </c>
      <c r="L263" s="1251">
        <v>15</v>
      </c>
      <c r="M263" s="1043">
        <v>900</v>
      </c>
      <c r="N263" s="1264">
        <v>0.25</v>
      </c>
      <c r="O263" s="815">
        <v>1.15</v>
      </c>
      <c r="P263" s="812">
        <v>13</v>
      </c>
      <c r="Q263" s="603"/>
      <c r="R263" s="605" t="s">
        <v>413</v>
      </c>
      <c r="S263" s="606"/>
      <c r="T263" s="1278">
        <v>536.7</v>
      </c>
      <c r="U263" s="604"/>
      <c r="V263" s="620">
        <v>8.433333333333332</v>
      </c>
      <c r="W263" s="613"/>
      <c r="X263" s="604"/>
      <c r="Y263" s="846">
        <v>8.433333333333332</v>
      </c>
      <c r="Z263" s="828"/>
      <c r="AA263" s="838">
        <v>28.955666666666666</v>
      </c>
      <c r="AB263" s="830"/>
      <c r="AC263" s="940">
        <v>13.200000000000001</v>
      </c>
      <c r="AD263" s="830" t="s">
        <v>484</v>
      </c>
      <c r="AE263" s="830">
        <v>0</v>
      </c>
      <c r="AF263" s="803">
        <v>4093</v>
      </c>
    </row>
    <row r="264" spans="1:32" ht="28.5">
      <c r="A264" s="154">
        <v>4101</v>
      </c>
      <c r="B264" s="992"/>
      <c r="C264" s="992" t="s">
        <v>1509</v>
      </c>
      <c r="D264" s="510">
        <v>100</v>
      </c>
      <c r="E264" s="504">
        <v>32000</v>
      </c>
      <c r="F264" s="509">
        <v>76</v>
      </c>
      <c r="G264" s="1068">
        <v>76</v>
      </c>
      <c r="H264" s="511">
        <v>64</v>
      </c>
      <c r="I264" s="511">
        <v>97</v>
      </c>
      <c r="J264" s="766">
        <v>50</v>
      </c>
      <c r="K264" s="145" t="s">
        <v>347</v>
      </c>
      <c r="L264" s="492">
        <v>12</v>
      </c>
      <c r="M264" s="782">
        <v>2200</v>
      </c>
      <c r="N264" s="500">
        <v>0.25</v>
      </c>
      <c r="O264" s="788">
        <v>0.85</v>
      </c>
      <c r="P264" s="492">
        <v>38</v>
      </c>
      <c r="Q264" s="507"/>
      <c r="R264" s="201" t="s">
        <v>413</v>
      </c>
      <c r="S264" s="201"/>
      <c r="T264" s="1277">
        <v>2852</v>
      </c>
      <c r="U264" s="511"/>
      <c r="V264" s="511">
        <v>12.363636363636363</v>
      </c>
      <c r="W264" s="506"/>
      <c r="X264" s="511"/>
      <c r="Y264" s="848">
        <v>12.363636363636363</v>
      </c>
      <c r="Z264" s="831">
        <v>76.34400000000001</v>
      </c>
      <c r="AA264" s="861">
        <v>76.34400000000001</v>
      </c>
      <c r="AB264" s="826"/>
      <c r="AC264" s="939">
        <v>64</v>
      </c>
      <c r="AD264" s="826" t="s">
        <v>484</v>
      </c>
      <c r="AE264" s="826">
        <v>0</v>
      </c>
      <c r="AF264" s="804">
        <v>4101</v>
      </c>
    </row>
    <row r="265" spans="1:32" ht="14.25">
      <c r="A265" s="990">
        <v>4102</v>
      </c>
      <c r="B265" s="991"/>
      <c r="C265" s="991" t="s">
        <v>1337</v>
      </c>
      <c r="D265" s="1040">
        <v>50</v>
      </c>
      <c r="E265" s="1028">
        <v>35000</v>
      </c>
      <c r="F265" s="1041">
        <v>52</v>
      </c>
      <c r="G265" s="1067">
        <v>103</v>
      </c>
      <c r="H265" s="620">
        <v>91</v>
      </c>
      <c r="I265" s="620">
        <v>124</v>
      </c>
      <c r="J265" s="1043">
        <v>60</v>
      </c>
      <c r="K265" s="1032" t="s">
        <v>347</v>
      </c>
      <c r="L265" s="1251">
        <v>12</v>
      </c>
      <c r="M265" s="1043">
        <v>1000</v>
      </c>
      <c r="N265" s="1264">
        <v>0.1</v>
      </c>
      <c r="O265" s="815">
        <v>1.05</v>
      </c>
      <c r="P265" s="812">
        <v>27</v>
      </c>
      <c r="Q265" s="609">
        <v>0.05</v>
      </c>
      <c r="R265" s="610">
        <v>254.2</v>
      </c>
      <c r="S265" s="610">
        <v>105</v>
      </c>
      <c r="T265" s="1278">
        <v>3417</v>
      </c>
      <c r="U265" s="620">
        <v>12.246666666666666</v>
      </c>
      <c r="V265" s="620">
        <v>36.75</v>
      </c>
      <c r="W265" s="613"/>
      <c r="X265" s="620">
        <v>1.4000000000000001</v>
      </c>
      <c r="Y265" s="846">
        <v>36.75</v>
      </c>
      <c r="Z265" s="828">
        <v>51.535</v>
      </c>
      <c r="AA265" s="838">
        <v>103.07000000000001</v>
      </c>
      <c r="AB265" s="830"/>
      <c r="AC265" s="940">
        <v>70</v>
      </c>
      <c r="AD265" s="830" t="s">
        <v>484</v>
      </c>
      <c r="AE265" s="830">
        <v>0</v>
      </c>
      <c r="AF265" s="803">
        <v>4102</v>
      </c>
    </row>
    <row r="266" spans="1:32" ht="14.25">
      <c r="A266" s="154"/>
      <c r="B266" s="992"/>
      <c r="C266" s="992"/>
      <c r="D266" s="510"/>
      <c r="E266" s="504"/>
      <c r="F266" s="509"/>
      <c r="G266" s="1065"/>
      <c r="H266" s="511"/>
      <c r="I266" s="511"/>
      <c r="J266" s="766"/>
      <c r="L266" s="492"/>
      <c r="M266" s="766"/>
      <c r="N266" s="500" t="s">
        <v>413</v>
      </c>
      <c r="O266" s="788" t="s">
        <v>413</v>
      </c>
      <c r="P266" s="492"/>
      <c r="Q266" s="507">
        <v>0.05</v>
      </c>
      <c r="R266" s="201">
        <v>291.4</v>
      </c>
      <c r="S266" s="201">
        <v>112</v>
      </c>
      <c r="T266" s="1277" t="s">
        <v>413</v>
      </c>
      <c r="U266" s="511">
        <v>11.794285714285714</v>
      </c>
      <c r="V266" s="511"/>
      <c r="W266" s="506"/>
      <c r="X266" s="511">
        <v>1.4000000000000001</v>
      </c>
      <c r="Y266" s="848" t="s">
        <v>413</v>
      </c>
      <c r="Z266" s="834"/>
      <c r="AA266" s="875"/>
      <c r="AB266" s="865"/>
      <c r="AC266" s="939" t="s">
        <v>413</v>
      </c>
      <c r="AD266" s="826" t="s">
        <v>413</v>
      </c>
      <c r="AE266" s="826"/>
      <c r="AF266" s="804"/>
    </row>
    <row r="267" spans="1:32" ht="14.25">
      <c r="A267" s="997"/>
      <c r="B267" s="998"/>
      <c r="C267" s="999" t="s">
        <v>595</v>
      </c>
      <c r="D267" s="1106"/>
      <c r="E267" s="1058"/>
      <c r="F267" s="1059"/>
      <c r="G267" s="1107"/>
      <c r="H267" s="1108"/>
      <c r="I267" s="1108"/>
      <c r="J267" s="1109"/>
      <c r="K267" s="1063"/>
      <c r="L267" s="1253"/>
      <c r="M267" s="1109"/>
      <c r="N267" s="1265" t="s">
        <v>413</v>
      </c>
      <c r="O267" s="817" t="s">
        <v>413</v>
      </c>
      <c r="P267" s="813"/>
      <c r="Q267" s="609">
        <v>0.025</v>
      </c>
      <c r="R267" s="610">
        <v>682</v>
      </c>
      <c r="S267" s="610">
        <v>413</v>
      </c>
      <c r="T267" s="1280" t="s">
        <v>413</v>
      </c>
      <c r="U267" s="620">
        <v>22.34</v>
      </c>
      <c r="V267" s="1108"/>
      <c r="W267" s="1061"/>
      <c r="X267" s="620">
        <v>0.7000000000000001</v>
      </c>
      <c r="Y267" s="876" t="s">
        <v>413</v>
      </c>
      <c r="Z267" s="857"/>
      <c r="AA267" s="877"/>
      <c r="AB267" s="859"/>
      <c r="AC267" s="942" t="s">
        <v>413</v>
      </c>
      <c r="AD267" s="859" t="s">
        <v>413</v>
      </c>
      <c r="AE267" s="859"/>
      <c r="AF267" s="805"/>
    </row>
    <row r="268" spans="1:32" ht="14.25">
      <c r="A268" s="496"/>
      <c r="B268" s="761"/>
      <c r="C268" s="496"/>
      <c r="D268" s="510"/>
      <c r="E268" s="504"/>
      <c r="F268" s="509"/>
      <c r="G268" s="1065"/>
      <c r="H268" s="511"/>
      <c r="I268" s="511"/>
      <c r="J268" s="766"/>
      <c r="K268" s="495"/>
      <c r="L268" s="496"/>
      <c r="M268" s="766"/>
      <c r="N268" s="500" t="s">
        <v>413</v>
      </c>
      <c r="O268" s="788" t="s">
        <v>413</v>
      </c>
      <c r="P268" s="810"/>
      <c r="Q268" s="507">
        <v>0.05</v>
      </c>
      <c r="R268" s="201">
        <v>254.2</v>
      </c>
      <c r="S268" s="201">
        <v>105</v>
      </c>
      <c r="T268" s="1277" t="s">
        <v>413</v>
      </c>
      <c r="U268" s="511">
        <v>18.369999999999997</v>
      </c>
      <c r="V268" s="511"/>
      <c r="W268" s="506"/>
      <c r="X268" s="511">
        <v>1.4000000000000001</v>
      </c>
      <c r="Y268" s="848" t="s">
        <v>413</v>
      </c>
      <c r="Z268" s="831"/>
      <c r="AA268" s="861"/>
      <c r="AB268" s="802"/>
      <c r="AC268" s="939" t="s">
        <v>413</v>
      </c>
      <c r="AD268" s="826" t="s">
        <v>413</v>
      </c>
      <c r="AE268" s="826"/>
      <c r="AF268" s="802"/>
    </row>
    <row r="269" spans="1:32" ht="14.25">
      <c r="A269" s="987">
        <v>5000</v>
      </c>
      <c r="B269" s="988"/>
      <c r="C269" s="989" t="s">
        <v>596</v>
      </c>
      <c r="D269" s="1021"/>
      <c r="E269" s="1022"/>
      <c r="F269" s="1023"/>
      <c r="G269" s="1024"/>
      <c r="H269" s="1025"/>
      <c r="I269" s="1025"/>
      <c r="J269" s="1026"/>
      <c r="K269" s="1026"/>
      <c r="L269" s="1021"/>
      <c r="M269" s="1026"/>
      <c r="N269" s="1263" t="s">
        <v>413</v>
      </c>
      <c r="O269" s="816" t="s">
        <v>413</v>
      </c>
      <c r="P269" s="809"/>
      <c r="Q269" s="609">
        <v>0.05</v>
      </c>
      <c r="R269" s="610">
        <v>297.6</v>
      </c>
      <c r="S269" s="610">
        <v>112</v>
      </c>
      <c r="T269" s="1276" t="s">
        <v>413</v>
      </c>
      <c r="U269" s="620">
        <v>16.768</v>
      </c>
      <c r="V269" s="1025"/>
      <c r="W269" s="1025"/>
      <c r="X269" s="620">
        <v>1.4000000000000001</v>
      </c>
      <c r="Y269" s="874" t="s">
        <v>413</v>
      </c>
      <c r="Z269" s="820"/>
      <c r="AA269" s="821"/>
      <c r="AB269" s="822"/>
      <c r="AC269" s="938" t="s">
        <v>413</v>
      </c>
      <c r="AD269" s="822" t="s">
        <v>413</v>
      </c>
      <c r="AE269" s="822"/>
      <c r="AF269" s="801">
        <v>5000</v>
      </c>
    </row>
    <row r="270" spans="1:32" ht="14.25">
      <c r="A270" s="496"/>
      <c r="B270" s="761"/>
      <c r="C270" s="496"/>
      <c r="D270" s="510"/>
      <c r="E270" s="504"/>
      <c r="F270" s="509"/>
      <c r="G270" s="1065"/>
      <c r="H270" s="511"/>
      <c r="I270" s="511"/>
      <c r="J270" s="766"/>
      <c r="K270" s="495"/>
      <c r="L270" s="496"/>
      <c r="M270" s="766"/>
      <c r="N270" s="500" t="s">
        <v>413</v>
      </c>
      <c r="O270" s="788" t="s">
        <v>413</v>
      </c>
      <c r="P270" s="810"/>
      <c r="Q270" s="507">
        <v>0.025</v>
      </c>
      <c r="R270" s="201">
        <v>961</v>
      </c>
      <c r="S270" s="201">
        <v>329</v>
      </c>
      <c r="T270" s="1277" t="s">
        <v>413</v>
      </c>
      <c r="U270" s="511">
        <v>26.42</v>
      </c>
      <c r="V270" s="511"/>
      <c r="W270" s="506"/>
      <c r="X270" s="511">
        <v>0.7000000000000001</v>
      </c>
      <c r="Y270" s="848" t="s">
        <v>413</v>
      </c>
      <c r="Z270" s="831"/>
      <c r="AA270" s="861"/>
      <c r="AB270" s="802"/>
      <c r="AC270" s="939" t="s">
        <v>413</v>
      </c>
      <c r="AD270" s="826" t="s">
        <v>413</v>
      </c>
      <c r="AE270" s="826"/>
      <c r="AF270" s="802"/>
    </row>
    <row r="271" spans="1:32" ht="14.25">
      <c r="A271" s="1008">
        <v>5001</v>
      </c>
      <c r="B271" s="991"/>
      <c r="C271" s="991" t="s">
        <v>597</v>
      </c>
      <c r="D271" s="1040">
        <v>140</v>
      </c>
      <c r="E271" s="1028">
        <v>13000</v>
      </c>
      <c r="F271" s="1041">
        <v>66</v>
      </c>
      <c r="G271" s="1067">
        <v>47</v>
      </c>
      <c r="H271" s="620">
        <v>40</v>
      </c>
      <c r="I271" s="620">
        <v>60</v>
      </c>
      <c r="J271" s="1043">
        <v>30</v>
      </c>
      <c r="K271" s="1032" t="s">
        <v>347</v>
      </c>
      <c r="L271" s="1251">
        <v>15</v>
      </c>
      <c r="M271" s="1043">
        <v>900</v>
      </c>
      <c r="N271" s="1264">
        <v>0.25</v>
      </c>
      <c r="O271" s="815">
        <v>0.6</v>
      </c>
      <c r="P271" s="812">
        <v>20</v>
      </c>
      <c r="Q271" s="609">
        <v>0.025</v>
      </c>
      <c r="R271" s="610">
        <v>1550</v>
      </c>
      <c r="S271" s="610">
        <v>371</v>
      </c>
      <c r="T271" s="1278">
        <v>1023.5</v>
      </c>
      <c r="U271" s="620">
        <v>30.323076923076922</v>
      </c>
      <c r="V271" s="620">
        <v>8.666666666666666</v>
      </c>
      <c r="W271" s="613"/>
      <c r="X271" s="620">
        <v>0.7000000000000001</v>
      </c>
      <c r="Y271" s="846">
        <v>8.666666666666666</v>
      </c>
      <c r="Z271" s="828">
        <v>65.88633333333333</v>
      </c>
      <c r="AA271" s="838">
        <v>47.06166666666667</v>
      </c>
      <c r="AB271" s="830"/>
      <c r="AC271" s="940">
        <v>26</v>
      </c>
      <c r="AD271" s="830" t="s">
        <v>484</v>
      </c>
      <c r="AE271" s="830">
        <v>0</v>
      </c>
      <c r="AF271" s="807">
        <v>5001</v>
      </c>
    </row>
    <row r="272" spans="1:32" ht="14.25">
      <c r="A272" s="154">
        <v>5002</v>
      </c>
      <c r="B272" s="992"/>
      <c r="C272" s="992" t="s">
        <v>598</v>
      </c>
      <c r="D272" s="510">
        <v>164</v>
      </c>
      <c r="E272" s="504">
        <v>14500</v>
      </c>
      <c r="F272" s="509">
        <v>76</v>
      </c>
      <c r="G272" s="1068">
        <v>46</v>
      </c>
      <c r="H272" s="511">
        <v>39</v>
      </c>
      <c r="I272" s="511">
        <v>58</v>
      </c>
      <c r="J272" s="766">
        <v>35</v>
      </c>
      <c r="K272" s="145" t="s">
        <v>347</v>
      </c>
      <c r="L272" s="492">
        <v>15</v>
      </c>
      <c r="M272" s="782">
        <v>1000</v>
      </c>
      <c r="N272" s="500">
        <v>0.25</v>
      </c>
      <c r="O272" s="788">
        <v>0.65</v>
      </c>
      <c r="P272" s="492">
        <v>23</v>
      </c>
      <c r="Q272" s="507"/>
      <c r="R272" s="201" t="s">
        <v>413</v>
      </c>
      <c r="S272" s="201"/>
      <c r="T272" s="1277">
        <v>1145.75</v>
      </c>
      <c r="U272" s="511"/>
      <c r="V272" s="511">
        <v>9.425</v>
      </c>
      <c r="W272" s="506"/>
      <c r="X272" s="511"/>
      <c r="Y272" s="848">
        <v>9.425</v>
      </c>
      <c r="Z272" s="831">
        <v>76.05792857142859</v>
      </c>
      <c r="AA272" s="861">
        <v>46.376785714285724</v>
      </c>
      <c r="AB272" s="826"/>
      <c r="AC272" s="939">
        <v>29</v>
      </c>
      <c r="AD272" s="826" t="s">
        <v>484</v>
      </c>
      <c r="AE272" s="826">
        <v>0</v>
      </c>
      <c r="AF272" s="804">
        <v>5002</v>
      </c>
    </row>
    <row r="273" spans="1:32" ht="14.25">
      <c r="A273" s="990">
        <v>5004</v>
      </c>
      <c r="B273" s="991"/>
      <c r="C273" s="991" t="s">
        <v>599</v>
      </c>
      <c r="D273" s="1040">
        <v>160</v>
      </c>
      <c r="E273" s="1028">
        <v>27000</v>
      </c>
      <c r="F273" s="1041">
        <v>87</v>
      </c>
      <c r="G273" s="1067">
        <v>54</v>
      </c>
      <c r="H273" s="620">
        <v>45</v>
      </c>
      <c r="I273" s="620">
        <v>70</v>
      </c>
      <c r="J273" s="1043">
        <v>50</v>
      </c>
      <c r="K273" s="1032" t="s">
        <v>347</v>
      </c>
      <c r="L273" s="1251">
        <v>15</v>
      </c>
      <c r="M273" s="1252">
        <v>2200</v>
      </c>
      <c r="N273" s="1264">
        <v>0.25</v>
      </c>
      <c r="O273" s="815">
        <v>0.6</v>
      </c>
      <c r="P273" s="812">
        <v>38</v>
      </c>
      <c r="Q273" s="603"/>
      <c r="R273" s="605" t="s">
        <v>413</v>
      </c>
      <c r="S273" s="606"/>
      <c r="T273" s="1278">
        <v>2104.5</v>
      </c>
      <c r="U273" s="604"/>
      <c r="V273" s="620">
        <v>7.363636363636363</v>
      </c>
      <c r="W273" s="613"/>
      <c r="X273" s="604"/>
      <c r="Y273" s="846">
        <v>7.363636363636363</v>
      </c>
      <c r="Z273" s="828">
        <v>87.0384</v>
      </c>
      <c r="AA273" s="838">
        <v>54.399</v>
      </c>
      <c r="AB273" s="830"/>
      <c r="AC273" s="940">
        <v>54</v>
      </c>
      <c r="AD273" s="830" t="s">
        <v>484</v>
      </c>
      <c r="AE273" s="830">
        <v>0</v>
      </c>
      <c r="AF273" s="803">
        <v>5004</v>
      </c>
    </row>
    <row r="274" spans="1:32" ht="14.25">
      <c r="A274" s="154">
        <v>5006</v>
      </c>
      <c r="B274" s="992"/>
      <c r="C274" s="992" t="s">
        <v>1338</v>
      </c>
      <c r="D274" s="510">
        <v>220</v>
      </c>
      <c r="E274" s="504">
        <v>38000</v>
      </c>
      <c r="F274" s="509">
        <v>131</v>
      </c>
      <c r="G274" s="1068">
        <v>59</v>
      </c>
      <c r="H274" s="511">
        <v>50</v>
      </c>
      <c r="I274" s="511">
        <v>76</v>
      </c>
      <c r="J274" s="766">
        <v>65</v>
      </c>
      <c r="K274" s="145" t="s">
        <v>347</v>
      </c>
      <c r="L274" s="492">
        <v>15</v>
      </c>
      <c r="M274" s="782">
        <v>2800</v>
      </c>
      <c r="N274" s="500">
        <v>0.25</v>
      </c>
      <c r="O274" s="788">
        <v>0.65</v>
      </c>
      <c r="P274" s="492">
        <v>50</v>
      </c>
      <c r="Q274" s="507"/>
      <c r="R274" s="201" t="s">
        <v>413</v>
      </c>
      <c r="S274" s="201"/>
      <c r="T274" s="1277">
        <v>2941</v>
      </c>
      <c r="U274" s="511"/>
      <c r="V274" s="511">
        <v>8.821428571428571</v>
      </c>
      <c r="W274" s="506"/>
      <c r="X274" s="511"/>
      <c r="Y274" s="848">
        <v>8.821428571428571</v>
      </c>
      <c r="Z274" s="831">
        <v>130.84354945054946</v>
      </c>
      <c r="AA274" s="861">
        <v>59.47434065934066</v>
      </c>
      <c r="AB274" s="826"/>
      <c r="AC274" s="939">
        <v>76</v>
      </c>
      <c r="AD274" s="826" t="s">
        <v>484</v>
      </c>
      <c r="AE274" s="826">
        <v>0</v>
      </c>
      <c r="AF274" s="804">
        <v>5006</v>
      </c>
    </row>
    <row r="275" spans="1:32" ht="14.25">
      <c r="A275" s="990">
        <v>5005</v>
      </c>
      <c r="B275" s="991"/>
      <c r="C275" s="991" t="s">
        <v>600</v>
      </c>
      <c r="D275" s="1069">
        <v>150</v>
      </c>
      <c r="E275" s="1028">
        <v>72000</v>
      </c>
      <c r="F275" s="1041">
        <v>114</v>
      </c>
      <c r="G275" s="1067">
        <v>76</v>
      </c>
      <c r="H275" s="620">
        <v>65</v>
      </c>
      <c r="I275" s="620">
        <v>93</v>
      </c>
      <c r="J275" s="1043">
        <v>150</v>
      </c>
      <c r="K275" s="1032" t="s">
        <v>347</v>
      </c>
      <c r="L275" s="1251">
        <v>12</v>
      </c>
      <c r="M275" s="1252">
        <v>3000</v>
      </c>
      <c r="N275" s="1264">
        <v>0.1</v>
      </c>
      <c r="O275" s="815">
        <v>0.9</v>
      </c>
      <c r="P275" s="812">
        <v>69</v>
      </c>
      <c r="Q275" s="609">
        <v>0.05</v>
      </c>
      <c r="R275" s="610">
        <v>696</v>
      </c>
      <c r="S275" s="610">
        <v>98</v>
      </c>
      <c r="T275" s="1278">
        <v>7110</v>
      </c>
      <c r="U275" s="620">
        <v>32.4</v>
      </c>
      <c r="V275" s="620">
        <v>21.6</v>
      </c>
      <c r="W275" s="613"/>
      <c r="X275" s="620">
        <v>1.4000000000000001</v>
      </c>
      <c r="Y275" s="846">
        <v>21.6</v>
      </c>
      <c r="Z275" s="828">
        <v>113.85</v>
      </c>
      <c r="AA275" s="838">
        <v>75.9</v>
      </c>
      <c r="AB275" s="830"/>
      <c r="AC275" s="940">
        <v>144</v>
      </c>
      <c r="AD275" s="830" t="s">
        <v>484</v>
      </c>
      <c r="AE275" s="830">
        <v>0</v>
      </c>
      <c r="AF275" s="803">
        <v>5005</v>
      </c>
    </row>
    <row r="276" spans="1:32" ht="14.25">
      <c r="A276" s="154">
        <v>5137</v>
      </c>
      <c r="B276" s="992"/>
      <c r="C276" s="992" t="s">
        <v>1510</v>
      </c>
      <c r="D276" s="510">
        <v>110</v>
      </c>
      <c r="E276" s="504">
        <v>11200</v>
      </c>
      <c r="F276" s="509">
        <v>28</v>
      </c>
      <c r="G276" s="1068">
        <v>25</v>
      </c>
      <c r="H276" s="511">
        <v>22</v>
      </c>
      <c r="I276" s="511">
        <v>31</v>
      </c>
      <c r="J276" s="766">
        <v>60</v>
      </c>
      <c r="K276" s="145" t="s">
        <v>347</v>
      </c>
      <c r="L276" s="492">
        <v>15</v>
      </c>
      <c r="M276" s="782">
        <v>2000</v>
      </c>
      <c r="N276" s="500">
        <v>0.25</v>
      </c>
      <c r="O276" s="788">
        <v>1.3</v>
      </c>
      <c r="P276" s="492">
        <v>26</v>
      </c>
      <c r="Q276" s="507"/>
      <c r="R276" s="201">
        <v>269.7</v>
      </c>
      <c r="S276" s="201">
        <v>4</v>
      </c>
      <c r="T276" s="1277">
        <v>934.4</v>
      </c>
      <c r="U276" s="511">
        <v>11.036</v>
      </c>
      <c r="V276" s="511">
        <v>7.279999999999999</v>
      </c>
      <c r="W276" s="506"/>
      <c r="X276" s="511"/>
      <c r="Y276" s="848">
        <v>7.279999999999999</v>
      </c>
      <c r="Z276" s="831">
        <v>27.65253333333333</v>
      </c>
      <c r="AA276" s="861">
        <v>25.138666666666666</v>
      </c>
      <c r="AB276" s="826"/>
      <c r="AC276" s="939">
        <v>22.400000000000002</v>
      </c>
      <c r="AD276" s="826" t="s">
        <v>484</v>
      </c>
      <c r="AE276" s="826">
        <v>0</v>
      </c>
      <c r="AF276" s="804">
        <v>5137</v>
      </c>
    </row>
    <row r="277" spans="1:32" ht="14.25">
      <c r="A277" s="154"/>
      <c r="B277" s="992"/>
      <c r="C277" s="992"/>
      <c r="D277" s="510"/>
      <c r="E277" s="504"/>
      <c r="F277" s="509"/>
      <c r="G277" s="1068"/>
      <c r="H277" s="511"/>
      <c r="I277" s="511"/>
      <c r="J277" s="766"/>
      <c r="L277" s="492"/>
      <c r="M277" s="766"/>
      <c r="N277" s="500" t="s">
        <v>413</v>
      </c>
      <c r="O277" s="788" t="s">
        <v>413</v>
      </c>
      <c r="P277" s="492"/>
      <c r="Q277" s="609">
        <v>0.05</v>
      </c>
      <c r="R277" s="610">
        <v>439.55</v>
      </c>
      <c r="S277" s="610">
        <v>91</v>
      </c>
      <c r="T277" s="1277" t="s">
        <v>413</v>
      </c>
      <c r="U277" s="620">
        <v>18.07833333333333</v>
      </c>
      <c r="V277" s="511"/>
      <c r="W277" s="506"/>
      <c r="X277" s="620">
        <v>1.4000000000000001</v>
      </c>
      <c r="Y277" s="848" t="s">
        <v>413</v>
      </c>
      <c r="Z277" s="834"/>
      <c r="AA277" s="875"/>
      <c r="AB277" s="865"/>
      <c r="AC277" s="939" t="s">
        <v>413</v>
      </c>
      <c r="AD277" s="826" t="s">
        <v>413</v>
      </c>
      <c r="AE277" s="826"/>
      <c r="AF277" s="804"/>
    </row>
    <row r="278" spans="1:32" ht="14.25">
      <c r="A278" s="987">
        <v>5020</v>
      </c>
      <c r="B278" s="988"/>
      <c r="C278" s="989" t="s">
        <v>601</v>
      </c>
      <c r="D278" s="1021"/>
      <c r="E278" s="1022"/>
      <c r="F278" s="1023"/>
      <c r="G278" s="1105"/>
      <c r="H278" s="1025"/>
      <c r="I278" s="1025"/>
      <c r="J278" s="1026"/>
      <c r="K278" s="1026"/>
      <c r="L278" s="1021"/>
      <c r="M278" s="1026"/>
      <c r="N278" s="1263" t="s">
        <v>413</v>
      </c>
      <c r="O278" s="816" t="s">
        <v>413</v>
      </c>
      <c r="P278" s="809"/>
      <c r="Q278" s="507">
        <v>0.25</v>
      </c>
      <c r="R278" s="201">
        <v>2966.4</v>
      </c>
      <c r="S278" s="201">
        <v>392</v>
      </c>
      <c r="T278" s="1276" t="s">
        <v>413</v>
      </c>
      <c r="U278" s="511">
        <v>171.52</v>
      </c>
      <c r="V278" s="1025"/>
      <c r="W278" s="1025"/>
      <c r="X278" s="511">
        <v>7</v>
      </c>
      <c r="Y278" s="874" t="s">
        <v>413</v>
      </c>
      <c r="Z278" s="820"/>
      <c r="AA278" s="821"/>
      <c r="AB278" s="822"/>
      <c r="AC278" s="938" t="s">
        <v>413</v>
      </c>
      <c r="AD278" s="822" t="s">
        <v>413</v>
      </c>
      <c r="AE278" s="822"/>
      <c r="AF278" s="801">
        <v>5020</v>
      </c>
    </row>
    <row r="279" spans="1:32" ht="14.25">
      <c r="A279" s="496"/>
      <c r="B279" s="761"/>
      <c r="C279" s="761"/>
      <c r="D279" s="208"/>
      <c r="E279" s="203"/>
      <c r="F279" s="765"/>
      <c r="G279" s="1068"/>
      <c r="H279" s="511"/>
      <c r="I279" s="511"/>
      <c r="J279" s="766"/>
      <c r="K279" s="499"/>
      <c r="L279" s="495"/>
      <c r="M279" s="766"/>
      <c r="N279" s="500" t="s">
        <v>413</v>
      </c>
      <c r="O279" s="788" t="s">
        <v>413</v>
      </c>
      <c r="P279" s="811"/>
      <c r="Q279" s="609">
        <v>0.05</v>
      </c>
      <c r="R279" s="610">
        <v>5932.8</v>
      </c>
      <c r="S279" s="610">
        <v>182</v>
      </c>
      <c r="T279" s="1279" t="s">
        <v>413</v>
      </c>
      <c r="U279" s="620">
        <v>312.94</v>
      </c>
      <c r="V279" s="1285"/>
      <c r="W279" s="1284"/>
      <c r="X279" s="620">
        <v>1.4000000000000001</v>
      </c>
      <c r="Y279" s="848" t="s">
        <v>413</v>
      </c>
      <c r="Z279" s="834"/>
      <c r="AA279" s="875"/>
      <c r="AB279" s="811"/>
      <c r="AC279" s="941" t="s">
        <v>413</v>
      </c>
      <c r="AD279" s="835" t="s">
        <v>413</v>
      </c>
      <c r="AE279" s="835"/>
      <c r="AF279" s="802"/>
    </row>
    <row r="280" spans="1:32" ht="14.25">
      <c r="A280" s="990">
        <v>5021</v>
      </c>
      <c r="B280" s="991"/>
      <c r="C280" s="991" t="s">
        <v>602</v>
      </c>
      <c r="D280" s="1040">
        <v>115</v>
      </c>
      <c r="E280" s="1028">
        <v>23000</v>
      </c>
      <c r="F280" s="1041">
        <v>74</v>
      </c>
      <c r="G280" s="1067">
        <v>65</v>
      </c>
      <c r="H280" s="620">
        <v>53</v>
      </c>
      <c r="I280" s="620">
        <v>83</v>
      </c>
      <c r="J280" s="1043">
        <v>40</v>
      </c>
      <c r="K280" s="1032" t="s">
        <v>347</v>
      </c>
      <c r="L280" s="1251">
        <v>12</v>
      </c>
      <c r="M280" s="1252">
        <v>1000</v>
      </c>
      <c r="N280" s="1264">
        <v>0.25</v>
      </c>
      <c r="O280" s="815">
        <v>0.35</v>
      </c>
      <c r="P280" s="812">
        <v>23</v>
      </c>
      <c r="Q280" s="507"/>
      <c r="R280" s="201" t="s">
        <v>413</v>
      </c>
      <c r="S280" s="201"/>
      <c r="T280" s="1278">
        <v>2024</v>
      </c>
      <c r="U280" s="511"/>
      <c r="V280" s="620">
        <v>8.049999999999999</v>
      </c>
      <c r="W280" s="613"/>
      <c r="X280" s="511"/>
      <c r="Y280" s="846">
        <v>8.049999999999999</v>
      </c>
      <c r="Z280" s="828">
        <v>74.19225</v>
      </c>
      <c r="AA280" s="838">
        <v>64.515</v>
      </c>
      <c r="AB280" s="830"/>
      <c r="AC280" s="940">
        <v>46</v>
      </c>
      <c r="AD280" s="830" t="s">
        <v>484</v>
      </c>
      <c r="AE280" s="830">
        <v>0</v>
      </c>
      <c r="AF280" s="803">
        <v>5021</v>
      </c>
    </row>
    <row r="281" spans="1:32" ht="14.25">
      <c r="A281" s="154">
        <v>5022</v>
      </c>
      <c r="B281" s="992"/>
      <c r="C281" s="992" t="s">
        <v>603</v>
      </c>
      <c r="D281" s="510">
        <v>170</v>
      </c>
      <c r="E281" s="504">
        <v>37000</v>
      </c>
      <c r="F281" s="509">
        <v>101</v>
      </c>
      <c r="G281" s="1068">
        <v>60</v>
      </c>
      <c r="H281" s="511">
        <v>51</v>
      </c>
      <c r="I281" s="511">
        <v>74</v>
      </c>
      <c r="J281" s="766">
        <v>80</v>
      </c>
      <c r="K281" s="145" t="s">
        <v>347</v>
      </c>
      <c r="L281" s="492">
        <v>12</v>
      </c>
      <c r="M281" s="782">
        <v>1700</v>
      </c>
      <c r="N281" s="500">
        <v>0.25</v>
      </c>
      <c r="O281" s="788">
        <v>0.65</v>
      </c>
      <c r="P281" s="492">
        <v>28</v>
      </c>
      <c r="Q281" s="626"/>
      <c r="R281" s="627" t="s">
        <v>413</v>
      </c>
      <c r="S281" s="627"/>
      <c r="T281" s="1277">
        <v>3202</v>
      </c>
      <c r="U281" s="637"/>
      <c r="V281" s="511">
        <v>14.147058823529413</v>
      </c>
      <c r="W281" s="506"/>
      <c r="X281" s="637"/>
      <c r="Y281" s="848">
        <v>14.147058823529413</v>
      </c>
      <c r="Z281" s="831">
        <v>101.30175000000001</v>
      </c>
      <c r="AA281" s="861">
        <v>59.58926470588236</v>
      </c>
      <c r="AB281" s="826"/>
      <c r="AC281" s="939">
        <v>74</v>
      </c>
      <c r="AD281" s="826" t="s">
        <v>484</v>
      </c>
      <c r="AE281" s="826">
        <v>0</v>
      </c>
      <c r="AF281" s="804">
        <v>5022</v>
      </c>
    </row>
    <row r="282" spans="1:32" ht="14.25">
      <c r="A282" s="990">
        <v>5023</v>
      </c>
      <c r="B282" s="991"/>
      <c r="C282" s="991" t="s">
        <v>604</v>
      </c>
      <c r="D282" s="1040">
        <v>225</v>
      </c>
      <c r="E282" s="1028">
        <v>48000</v>
      </c>
      <c r="F282" s="1041">
        <v>133</v>
      </c>
      <c r="G282" s="1067">
        <v>59</v>
      </c>
      <c r="H282" s="620">
        <v>51</v>
      </c>
      <c r="I282" s="620">
        <v>73</v>
      </c>
      <c r="J282" s="1043">
        <v>120</v>
      </c>
      <c r="K282" s="1032" t="s">
        <v>347</v>
      </c>
      <c r="L282" s="1251">
        <v>12</v>
      </c>
      <c r="M282" s="1252">
        <v>2100</v>
      </c>
      <c r="N282" s="1264">
        <v>0.1</v>
      </c>
      <c r="O282" s="815">
        <v>0.65</v>
      </c>
      <c r="P282" s="812">
        <v>34</v>
      </c>
      <c r="Q282" s="507"/>
      <c r="R282" s="201" t="s">
        <v>413</v>
      </c>
      <c r="S282" s="201"/>
      <c r="T282" s="1278">
        <v>4668</v>
      </c>
      <c r="U282" s="511"/>
      <c r="V282" s="620">
        <v>14.857142857142858</v>
      </c>
      <c r="W282" s="613"/>
      <c r="X282" s="511"/>
      <c r="Y282" s="846">
        <v>14.857142857142858</v>
      </c>
      <c r="Z282" s="828">
        <v>133.04892857142858</v>
      </c>
      <c r="AA282" s="838">
        <v>59.13285714285714</v>
      </c>
      <c r="AB282" s="830"/>
      <c r="AC282" s="940">
        <v>96</v>
      </c>
      <c r="AD282" s="830" t="s">
        <v>484</v>
      </c>
      <c r="AE282" s="830">
        <v>0</v>
      </c>
      <c r="AF282" s="803">
        <v>5023</v>
      </c>
    </row>
    <row r="283" spans="1:32" ht="14.25">
      <c r="A283" s="496"/>
      <c r="B283" s="761"/>
      <c r="C283" s="761"/>
      <c r="D283" s="208"/>
      <c r="E283" s="203"/>
      <c r="F283" s="765"/>
      <c r="G283" s="1068"/>
      <c r="H283" s="511"/>
      <c r="I283" s="511"/>
      <c r="J283" s="766"/>
      <c r="K283" s="499"/>
      <c r="L283" s="495"/>
      <c r="M283" s="766"/>
      <c r="N283" s="500" t="s">
        <v>413</v>
      </c>
      <c r="O283" s="788" t="s">
        <v>413</v>
      </c>
      <c r="P283" s="811"/>
      <c r="Q283" s="603"/>
      <c r="R283" s="605" t="s">
        <v>413</v>
      </c>
      <c r="S283" s="606"/>
      <c r="T283" s="1279" t="s">
        <v>413</v>
      </c>
      <c r="U283" s="604"/>
      <c r="V283" s="1285"/>
      <c r="W283" s="1284"/>
      <c r="X283" s="604"/>
      <c r="Y283" s="848" t="s">
        <v>413</v>
      </c>
      <c r="Z283" s="834"/>
      <c r="AA283" s="875"/>
      <c r="AB283" s="811"/>
      <c r="AC283" s="941" t="s">
        <v>413</v>
      </c>
      <c r="AD283" s="835" t="s">
        <v>413</v>
      </c>
      <c r="AE283" s="835"/>
      <c r="AF283" s="802"/>
    </row>
    <row r="284" spans="1:32" ht="14.25">
      <c r="A284" s="987">
        <v>5030</v>
      </c>
      <c r="B284" s="988"/>
      <c r="C284" s="989" t="s">
        <v>605</v>
      </c>
      <c r="D284" s="1021"/>
      <c r="E284" s="1022"/>
      <c r="F284" s="1023"/>
      <c r="G284" s="1105"/>
      <c r="H284" s="1025"/>
      <c r="I284" s="1025"/>
      <c r="J284" s="1026"/>
      <c r="K284" s="1026"/>
      <c r="L284" s="1021"/>
      <c r="M284" s="1026"/>
      <c r="N284" s="1263" t="s">
        <v>413</v>
      </c>
      <c r="O284" s="816" t="s">
        <v>413</v>
      </c>
      <c r="P284" s="809"/>
      <c r="Q284" s="507"/>
      <c r="R284" s="201" t="s">
        <v>413</v>
      </c>
      <c r="S284" s="201"/>
      <c r="T284" s="1276" t="s">
        <v>413</v>
      </c>
      <c r="U284" s="511"/>
      <c r="V284" s="1025"/>
      <c r="W284" s="1025"/>
      <c r="X284" s="511"/>
      <c r="Y284" s="874" t="s">
        <v>413</v>
      </c>
      <c r="Z284" s="820"/>
      <c r="AA284" s="821"/>
      <c r="AB284" s="822"/>
      <c r="AC284" s="938" t="s">
        <v>413</v>
      </c>
      <c r="AD284" s="822" t="s">
        <v>413</v>
      </c>
      <c r="AE284" s="822"/>
      <c r="AF284" s="801">
        <v>5030</v>
      </c>
    </row>
    <row r="285" spans="1:32" ht="14.25">
      <c r="A285" s="496"/>
      <c r="B285" s="761"/>
      <c r="C285" s="761"/>
      <c r="D285" s="208"/>
      <c r="E285" s="203"/>
      <c r="F285" s="765"/>
      <c r="G285" s="1068"/>
      <c r="H285" s="511"/>
      <c r="I285" s="511"/>
      <c r="J285" s="766"/>
      <c r="K285" s="499"/>
      <c r="L285" s="495"/>
      <c r="M285" s="766"/>
      <c r="N285" s="500" t="s">
        <v>413</v>
      </c>
      <c r="O285" s="788" t="s">
        <v>413</v>
      </c>
      <c r="P285" s="811"/>
      <c r="Q285" s="609">
        <v>0.1</v>
      </c>
      <c r="R285" s="610">
        <v>856.75</v>
      </c>
      <c r="S285" s="610">
        <v>140</v>
      </c>
      <c r="T285" s="1279" t="s">
        <v>413</v>
      </c>
      <c r="U285" s="620">
        <v>33.99166666666667</v>
      </c>
      <c r="V285" s="1285"/>
      <c r="W285" s="1284"/>
      <c r="X285" s="620">
        <v>2.8000000000000003</v>
      </c>
      <c r="Y285" s="848" t="s">
        <v>413</v>
      </c>
      <c r="Z285" s="834"/>
      <c r="AA285" s="875"/>
      <c r="AB285" s="811"/>
      <c r="AC285" s="941" t="s">
        <v>413</v>
      </c>
      <c r="AD285" s="835" t="s">
        <v>413</v>
      </c>
      <c r="AE285" s="835"/>
      <c r="AF285" s="802"/>
    </row>
    <row r="286" spans="1:32" ht="14.25">
      <c r="A286" s="990">
        <v>5031</v>
      </c>
      <c r="B286" s="991"/>
      <c r="C286" s="991" t="s">
        <v>987</v>
      </c>
      <c r="D286" s="1040">
        <v>104</v>
      </c>
      <c r="E286" s="1028">
        <v>23000</v>
      </c>
      <c r="F286" s="1041">
        <v>88</v>
      </c>
      <c r="G286" s="1067">
        <v>84</v>
      </c>
      <c r="H286" s="620">
        <v>71</v>
      </c>
      <c r="I286" s="620">
        <v>105</v>
      </c>
      <c r="J286" s="1043">
        <v>40</v>
      </c>
      <c r="K286" s="1032" t="s">
        <v>347</v>
      </c>
      <c r="L286" s="1251">
        <v>12</v>
      </c>
      <c r="M286" s="1043">
        <v>800</v>
      </c>
      <c r="N286" s="1264">
        <v>0.1</v>
      </c>
      <c r="O286" s="815">
        <v>0.65</v>
      </c>
      <c r="P286" s="812">
        <v>29</v>
      </c>
      <c r="Q286" s="507">
        <v>0.1</v>
      </c>
      <c r="R286" s="201">
        <v>968.5</v>
      </c>
      <c r="S286" s="201">
        <v>161</v>
      </c>
      <c r="T286" s="1278">
        <v>2313</v>
      </c>
      <c r="U286" s="511">
        <v>33.01428571428571</v>
      </c>
      <c r="V286" s="620">
        <v>18.6875</v>
      </c>
      <c r="W286" s="613"/>
      <c r="X286" s="511">
        <v>2.8000000000000003</v>
      </c>
      <c r="Y286" s="846">
        <v>18.6875</v>
      </c>
      <c r="Z286" s="828">
        <v>87.53030000000001</v>
      </c>
      <c r="AA286" s="838">
        <v>84.16375000000001</v>
      </c>
      <c r="AB286" s="830"/>
      <c r="AC286" s="940">
        <v>46</v>
      </c>
      <c r="AD286" s="830" t="s">
        <v>484</v>
      </c>
      <c r="AE286" s="830">
        <v>0</v>
      </c>
      <c r="AF286" s="803">
        <v>5031</v>
      </c>
    </row>
    <row r="287" spans="1:32" ht="14.25">
      <c r="A287" s="154">
        <v>5032</v>
      </c>
      <c r="B287" s="992"/>
      <c r="C287" s="992" t="s">
        <v>988</v>
      </c>
      <c r="D287" s="510">
        <v>203</v>
      </c>
      <c r="E287" s="504">
        <v>52000</v>
      </c>
      <c r="F287" s="509">
        <v>175</v>
      </c>
      <c r="G287" s="1068">
        <v>86</v>
      </c>
      <c r="H287" s="511">
        <v>72</v>
      </c>
      <c r="I287" s="511">
        <v>109</v>
      </c>
      <c r="J287" s="766">
        <v>80</v>
      </c>
      <c r="K287" s="145" t="s">
        <v>347</v>
      </c>
      <c r="L287" s="492">
        <v>12</v>
      </c>
      <c r="M287" s="782">
        <v>1600</v>
      </c>
      <c r="N287" s="500">
        <v>0.1</v>
      </c>
      <c r="O287" s="788">
        <v>0.45</v>
      </c>
      <c r="P287" s="492">
        <v>41</v>
      </c>
      <c r="Q287" s="609">
        <v>0.0666</v>
      </c>
      <c r="R287" s="610">
        <v>2011.5</v>
      </c>
      <c r="S287" s="610">
        <v>259</v>
      </c>
      <c r="T287" s="1277">
        <v>5082</v>
      </c>
      <c r="U287" s="620">
        <v>46.49</v>
      </c>
      <c r="V287" s="511">
        <v>14.625</v>
      </c>
      <c r="W287" s="506"/>
      <c r="X287" s="620">
        <v>1.8648000000000002</v>
      </c>
      <c r="Y287" s="848">
        <v>14.625</v>
      </c>
      <c r="Z287" s="831">
        <v>174.50895000000003</v>
      </c>
      <c r="AA287" s="861">
        <v>85.96500000000002</v>
      </c>
      <c r="AB287" s="826"/>
      <c r="AC287" s="939">
        <v>104</v>
      </c>
      <c r="AD287" s="826" t="s">
        <v>484</v>
      </c>
      <c r="AE287" s="826">
        <v>0</v>
      </c>
      <c r="AF287" s="804">
        <v>5032</v>
      </c>
    </row>
    <row r="288" spans="1:32" ht="14.25">
      <c r="A288" s="496"/>
      <c r="B288" s="761"/>
      <c r="C288" s="761"/>
      <c r="D288" s="208"/>
      <c r="E288" s="203"/>
      <c r="F288" s="765"/>
      <c r="G288" s="1068"/>
      <c r="H288" s="511"/>
      <c r="I288" s="511"/>
      <c r="J288" s="766"/>
      <c r="K288" s="499"/>
      <c r="L288" s="495"/>
      <c r="M288" s="766"/>
      <c r="N288" s="500" t="s">
        <v>413</v>
      </c>
      <c r="O288" s="788" t="s">
        <v>413</v>
      </c>
      <c r="P288" s="811"/>
      <c r="Q288" s="507">
        <v>0.1</v>
      </c>
      <c r="R288" s="201">
        <v>2011.5</v>
      </c>
      <c r="S288" s="201">
        <v>266</v>
      </c>
      <c r="T288" s="1279" t="s">
        <v>413</v>
      </c>
      <c r="U288" s="511">
        <v>46.63</v>
      </c>
      <c r="V288" s="1285"/>
      <c r="W288" s="1284"/>
      <c r="X288" s="511">
        <v>2.8000000000000003</v>
      </c>
      <c r="Y288" s="848" t="s">
        <v>413</v>
      </c>
      <c r="Z288" s="834"/>
      <c r="AA288" s="875"/>
      <c r="AB288" s="811"/>
      <c r="AC288" s="941" t="s">
        <v>413</v>
      </c>
      <c r="AD288" s="835" t="s">
        <v>413</v>
      </c>
      <c r="AE288" s="835"/>
      <c r="AF288" s="802"/>
    </row>
    <row r="289" spans="1:32" ht="14.25">
      <c r="A289" s="987">
        <v>5040</v>
      </c>
      <c r="B289" s="988"/>
      <c r="C289" s="989" t="s">
        <v>606</v>
      </c>
      <c r="D289" s="1021"/>
      <c r="E289" s="1022"/>
      <c r="F289" s="1023"/>
      <c r="G289" s="1105"/>
      <c r="H289" s="1025"/>
      <c r="I289" s="1025"/>
      <c r="J289" s="1026"/>
      <c r="K289" s="1026"/>
      <c r="L289" s="1021"/>
      <c r="M289" s="1026"/>
      <c r="N289" s="1263" t="s">
        <v>413</v>
      </c>
      <c r="O289" s="816" t="s">
        <v>413</v>
      </c>
      <c r="P289" s="809"/>
      <c r="Q289" s="609">
        <v>0.1</v>
      </c>
      <c r="R289" s="610">
        <v>6623.2</v>
      </c>
      <c r="S289" s="610">
        <v>483</v>
      </c>
      <c r="T289" s="1276" t="s">
        <v>413</v>
      </c>
      <c r="U289" s="620">
        <v>48.28133333333333</v>
      </c>
      <c r="V289" s="1025"/>
      <c r="W289" s="1025"/>
      <c r="X289" s="620">
        <v>2.8000000000000003</v>
      </c>
      <c r="Y289" s="874" t="s">
        <v>413</v>
      </c>
      <c r="Z289" s="820"/>
      <c r="AA289" s="821"/>
      <c r="AB289" s="822"/>
      <c r="AC289" s="938" t="s">
        <v>413</v>
      </c>
      <c r="AD289" s="822" t="s">
        <v>413</v>
      </c>
      <c r="AE289" s="822"/>
      <c r="AF289" s="801">
        <v>5040</v>
      </c>
    </row>
    <row r="290" spans="1:32" ht="14.25">
      <c r="A290" s="496"/>
      <c r="B290" s="761"/>
      <c r="C290" s="761"/>
      <c r="D290" s="208"/>
      <c r="E290" s="203"/>
      <c r="F290" s="765"/>
      <c r="G290" s="1068"/>
      <c r="H290" s="511"/>
      <c r="I290" s="511"/>
      <c r="J290" s="766"/>
      <c r="K290" s="499"/>
      <c r="L290" s="495"/>
      <c r="M290" s="766"/>
      <c r="N290" s="500" t="s">
        <v>413</v>
      </c>
      <c r="O290" s="788" t="s">
        <v>413</v>
      </c>
      <c r="P290" s="811"/>
      <c r="Q290" s="507"/>
      <c r="R290" s="201" t="s">
        <v>413</v>
      </c>
      <c r="S290" s="201"/>
      <c r="T290" s="1279" t="s">
        <v>413</v>
      </c>
      <c r="U290" s="511"/>
      <c r="V290" s="1285"/>
      <c r="W290" s="1284"/>
      <c r="X290" s="511"/>
      <c r="Y290" s="848" t="s">
        <v>413</v>
      </c>
      <c r="Z290" s="834"/>
      <c r="AA290" s="875"/>
      <c r="AB290" s="811"/>
      <c r="AC290" s="941" t="s">
        <v>413</v>
      </c>
      <c r="AD290" s="835" t="s">
        <v>413</v>
      </c>
      <c r="AE290" s="835"/>
      <c r="AF290" s="802"/>
    </row>
    <row r="291" spans="1:32" ht="14.25">
      <c r="A291" s="990">
        <v>5043</v>
      </c>
      <c r="B291" s="996"/>
      <c r="C291" s="991" t="s">
        <v>607</v>
      </c>
      <c r="D291" s="1040">
        <v>40</v>
      </c>
      <c r="E291" s="1028">
        <v>16000</v>
      </c>
      <c r="F291" s="1041">
        <v>90</v>
      </c>
      <c r="G291" s="1067">
        <v>230</v>
      </c>
      <c r="H291" s="620">
        <v>190</v>
      </c>
      <c r="I291" s="620">
        <v>280</v>
      </c>
      <c r="J291" s="1043">
        <v>8</v>
      </c>
      <c r="K291" s="1032" t="s">
        <v>347</v>
      </c>
      <c r="L291" s="1251">
        <v>15</v>
      </c>
      <c r="M291" s="1043">
        <v>250</v>
      </c>
      <c r="N291" s="1264">
        <v>0.25</v>
      </c>
      <c r="O291" s="815">
        <v>0.9</v>
      </c>
      <c r="P291" s="812">
        <v>12</v>
      </c>
      <c r="Q291" s="603"/>
      <c r="R291" s="605" t="s">
        <v>413</v>
      </c>
      <c r="S291" s="606"/>
      <c r="T291" s="1278">
        <v>1184</v>
      </c>
      <c r="U291" s="604"/>
      <c r="V291" s="620">
        <v>57.6</v>
      </c>
      <c r="W291" s="613"/>
      <c r="X291" s="604"/>
      <c r="Y291" s="846">
        <v>57.6</v>
      </c>
      <c r="Z291" s="828">
        <v>90.46400000000001</v>
      </c>
      <c r="AA291" s="838">
        <v>226.16000000000003</v>
      </c>
      <c r="AB291" s="851"/>
      <c r="AC291" s="940">
        <v>32</v>
      </c>
      <c r="AD291" s="830" t="s">
        <v>484</v>
      </c>
      <c r="AE291" s="830">
        <v>0</v>
      </c>
      <c r="AF291" s="803">
        <v>5043</v>
      </c>
    </row>
    <row r="292" spans="1:32" ht="14.25">
      <c r="A292" s="154">
        <v>5044</v>
      </c>
      <c r="B292" s="761"/>
      <c r="C292" s="992" t="s">
        <v>608</v>
      </c>
      <c r="D292" s="510">
        <v>60</v>
      </c>
      <c r="E292" s="504">
        <v>28000</v>
      </c>
      <c r="F292" s="509">
        <v>117</v>
      </c>
      <c r="G292" s="1068">
        <v>200</v>
      </c>
      <c r="H292" s="511">
        <v>170</v>
      </c>
      <c r="I292" s="511">
        <v>240</v>
      </c>
      <c r="J292" s="766">
        <v>16</v>
      </c>
      <c r="K292" s="145" t="s">
        <v>347</v>
      </c>
      <c r="L292" s="492">
        <v>15</v>
      </c>
      <c r="M292" s="766">
        <v>500</v>
      </c>
      <c r="N292" s="500">
        <v>0.25</v>
      </c>
      <c r="O292" s="788">
        <v>0.85</v>
      </c>
      <c r="P292" s="492">
        <v>23</v>
      </c>
      <c r="Q292" s="507"/>
      <c r="R292" s="201" t="s">
        <v>413</v>
      </c>
      <c r="S292" s="201"/>
      <c r="T292" s="1277">
        <v>2084</v>
      </c>
      <c r="U292" s="511"/>
      <c r="V292" s="511">
        <v>47.6</v>
      </c>
      <c r="W292" s="506"/>
      <c r="X292" s="511"/>
      <c r="Y292" s="848">
        <v>47.6</v>
      </c>
      <c r="Z292" s="831">
        <v>117.381</v>
      </c>
      <c r="AA292" s="861">
        <v>195.63500000000002</v>
      </c>
      <c r="AB292" s="802"/>
      <c r="AC292" s="939">
        <v>56</v>
      </c>
      <c r="AD292" s="826" t="s">
        <v>484</v>
      </c>
      <c r="AE292" s="826">
        <v>0</v>
      </c>
      <c r="AF292" s="804">
        <v>5044</v>
      </c>
    </row>
    <row r="293" spans="1:32" ht="14.25">
      <c r="A293" s="990">
        <v>5047</v>
      </c>
      <c r="B293" s="996"/>
      <c r="C293" s="991" t="s">
        <v>1339</v>
      </c>
      <c r="D293" s="1040">
        <v>60</v>
      </c>
      <c r="E293" s="1028">
        <v>52000</v>
      </c>
      <c r="F293" s="1041">
        <v>173</v>
      </c>
      <c r="G293" s="1067">
        <v>290</v>
      </c>
      <c r="H293" s="620">
        <v>250</v>
      </c>
      <c r="I293" s="620">
        <v>360</v>
      </c>
      <c r="J293" s="1043">
        <v>20</v>
      </c>
      <c r="K293" s="1032" t="s">
        <v>347</v>
      </c>
      <c r="L293" s="1251">
        <v>15</v>
      </c>
      <c r="M293" s="1043">
        <v>600</v>
      </c>
      <c r="N293" s="1264">
        <v>0.25</v>
      </c>
      <c r="O293" s="815">
        <v>0.85</v>
      </c>
      <c r="P293" s="812">
        <v>26</v>
      </c>
      <c r="Q293" s="609">
        <v>0.1</v>
      </c>
      <c r="R293" s="610">
        <v>432.1</v>
      </c>
      <c r="S293" s="610">
        <v>161</v>
      </c>
      <c r="T293" s="1278">
        <v>3770</v>
      </c>
      <c r="U293" s="620">
        <v>30.235000000000003</v>
      </c>
      <c r="V293" s="620">
        <v>73.66666666666667</v>
      </c>
      <c r="W293" s="613"/>
      <c r="X293" s="620">
        <v>2.8000000000000003</v>
      </c>
      <c r="Y293" s="846">
        <v>73.66666666666667</v>
      </c>
      <c r="Z293" s="828">
        <v>173.03000000000003</v>
      </c>
      <c r="AA293" s="838">
        <v>288.3833333333334</v>
      </c>
      <c r="AB293" s="851"/>
      <c r="AC293" s="940">
        <v>104</v>
      </c>
      <c r="AD293" s="830" t="s">
        <v>484</v>
      </c>
      <c r="AE293" s="830">
        <v>0</v>
      </c>
      <c r="AF293" s="803">
        <v>5047</v>
      </c>
    </row>
    <row r="294" spans="1:32" ht="14.25">
      <c r="A294" s="154">
        <v>5045</v>
      </c>
      <c r="B294" s="761"/>
      <c r="C294" s="992" t="s">
        <v>609</v>
      </c>
      <c r="D294" s="510"/>
      <c r="E294" s="504">
        <v>9500</v>
      </c>
      <c r="F294" s="509"/>
      <c r="G294" s="1068">
        <v>106</v>
      </c>
      <c r="H294" s="511">
        <v>90</v>
      </c>
      <c r="I294" s="511">
        <v>134</v>
      </c>
      <c r="J294" s="766">
        <v>10</v>
      </c>
      <c r="K294" s="145" t="s">
        <v>347</v>
      </c>
      <c r="L294" s="492">
        <v>15</v>
      </c>
      <c r="M294" s="766">
        <v>300</v>
      </c>
      <c r="N294" s="500">
        <v>0.25</v>
      </c>
      <c r="O294" s="788">
        <v>0.7</v>
      </c>
      <c r="P294" s="492">
        <v>14</v>
      </c>
      <c r="Q294" s="507">
        <v>0.1</v>
      </c>
      <c r="R294" s="201">
        <v>774.8</v>
      </c>
      <c r="S294" s="201">
        <v>112</v>
      </c>
      <c r="T294" s="1277">
        <v>744.25</v>
      </c>
      <c r="U294" s="511">
        <v>30.25333333333333</v>
      </c>
      <c r="V294" s="511">
        <v>22.166666666666668</v>
      </c>
      <c r="W294" s="506"/>
      <c r="X294" s="511">
        <v>2.8000000000000003</v>
      </c>
      <c r="Y294" s="848">
        <v>22.166666666666668</v>
      </c>
      <c r="Z294" s="831"/>
      <c r="AA294" s="861">
        <v>106.25083333333335</v>
      </c>
      <c r="AB294" s="802"/>
      <c r="AC294" s="939">
        <v>19</v>
      </c>
      <c r="AD294" s="826" t="s">
        <v>484</v>
      </c>
      <c r="AE294" s="826">
        <v>0</v>
      </c>
      <c r="AF294" s="804">
        <v>5045</v>
      </c>
    </row>
    <row r="295" spans="1:32" ht="14.25">
      <c r="A295" s="990">
        <v>5046</v>
      </c>
      <c r="B295" s="996"/>
      <c r="C295" s="991" t="s">
        <v>610</v>
      </c>
      <c r="D295" s="1040">
        <v>10</v>
      </c>
      <c r="E295" s="1028">
        <v>9500</v>
      </c>
      <c r="F295" s="1041">
        <v>24</v>
      </c>
      <c r="G295" s="1067">
        <v>240</v>
      </c>
      <c r="H295" s="620">
        <v>200</v>
      </c>
      <c r="I295" s="620">
        <v>300</v>
      </c>
      <c r="J295" s="1043">
        <v>4</v>
      </c>
      <c r="K295" s="1032" t="s">
        <v>347</v>
      </c>
      <c r="L295" s="1251">
        <v>15</v>
      </c>
      <c r="M295" s="1043">
        <v>200</v>
      </c>
      <c r="N295" s="1264">
        <v>0.25</v>
      </c>
      <c r="O295" s="815">
        <v>0.6</v>
      </c>
      <c r="P295" s="812">
        <v>14</v>
      </c>
      <c r="Q295" s="609">
        <v>0.1</v>
      </c>
      <c r="R295" s="610">
        <v>856.75</v>
      </c>
      <c r="S295" s="610">
        <v>259</v>
      </c>
      <c r="T295" s="1278">
        <v>744.25</v>
      </c>
      <c r="U295" s="620">
        <v>37.958333333333336</v>
      </c>
      <c r="V295" s="620">
        <v>28.5</v>
      </c>
      <c r="W295" s="613"/>
      <c r="X295" s="620">
        <v>2.8000000000000003</v>
      </c>
      <c r="Y295" s="846">
        <v>28.5</v>
      </c>
      <c r="Z295" s="828">
        <v>23.601875</v>
      </c>
      <c r="AA295" s="838">
        <v>236.01875</v>
      </c>
      <c r="AB295" s="851"/>
      <c r="AC295" s="940">
        <v>19</v>
      </c>
      <c r="AD295" s="830" t="s">
        <v>484</v>
      </c>
      <c r="AE295" s="830">
        <v>0</v>
      </c>
      <c r="AF295" s="803">
        <v>5046</v>
      </c>
    </row>
    <row r="296" spans="1:32" ht="14.25">
      <c r="A296" s="154"/>
      <c r="B296" s="761"/>
      <c r="C296" s="992"/>
      <c r="D296" s="510"/>
      <c r="E296" s="504"/>
      <c r="F296" s="509"/>
      <c r="G296" s="1068"/>
      <c r="H296" s="511"/>
      <c r="I296" s="511"/>
      <c r="J296" s="766"/>
      <c r="L296" s="492"/>
      <c r="M296" s="766"/>
      <c r="N296" s="500"/>
      <c r="O296" s="788" t="s">
        <v>413</v>
      </c>
      <c r="P296" s="492"/>
      <c r="Q296" s="507">
        <v>0.1</v>
      </c>
      <c r="R296" s="201">
        <v>1005.75</v>
      </c>
      <c r="S296" s="201">
        <v>294</v>
      </c>
      <c r="T296" s="1277" t="s">
        <v>413</v>
      </c>
      <c r="U296" s="511">
        <v>37.90714285714286</v>
      </c>
      <c r="V296" s="511"/>
      <c r="W296" s="506"/>
      <c r="X296" s="511">
        <v>2.8000000000000003</v>
      </c>
      <c r="Y296" s="848" t="s">
        <v>413</v>
      </c>
      <c r="Z296" s="831"/>
      <c r="AA296" s="861"/>
      <c r="AB296" s="802"/>
      <c r="AC296" s="939"/>
      <c r="AD296" s="826"/>
      <c r="AE296" s="826"/>
      <c r="AF296" s="804"/>
    </row>
    <row r="297" spans="1:32" ht="14.25">
      <c r="A297" s="987">
        <v>5060</v>
      </c>
      <c r="B297" s="988"/>
      <c r="C297" s="989" t="s">
        <v>611</v>
      </c>
      <c r="D297" s="1026"/>
      <c r="E297" s="1022"/>
      <c r="F297" s="1023"/>
      <c r="G297" s="1024"/>
      <c r="H297" s="1025"/>
      <c r="I297" s="1025"/>
      <c r="J297" s="1026"/>
      <c r="K297" s="1026"/>
      <c r="L297" s="1021"/>
      <c r="M297" s="1026"/>
      <c r="N297" s="1263" t="s">
        <v>413</v>
      </c>
      <c r="O297" s="816" t="s">
        <v>413</v>
      </c>
      <c r="P297" s="809"/>
      <c r="Q297" s="507"/>
      <c r="R297" s="201" t="s">
        <v>413</v>
      </c>
      <c r="S297" s="201"/>
      <c r="T297" s="1276" t="s">
        <v>413</v>
      </c>
      <c r="U297" s="511"/>
      <c r="V297" s="1025"/>
      <c r="W297" s="1025"/>
      <c r="X297" s="511"/>
      <c r="Y297" s="874" t="s">
        <v>413</v>
      </c>
      <c r="Z297" s="820"/>
      <c r="AA297" s="821"/>
      <c r="AB297" s="822"/>
      <c r="AC297" s="938" t="s">
        <v>413</v>
      </c>
      <c r="AD297" s="822" t="s">
        <v>413</v>
      </c>
      <c r="AE297" s="822"/>
      <c r="AF297" s="801">
        <v>5060</v>
      </c>
    </row>
    <row r="298" spans="1:32" ht="14.25">
      <c r="A298" s="496"/>
      <c r="B298" s="761"/>
      <c r="C298" s="761"/>
      <c r="D298" s="499"/>
      <c r="E298" s="203"/>
      <c r="F298" s="499"/>
      <c r="G298" s="495"/>
      <c r="H298" s="495"/>
      <c r="I298" s="495"/>
      <c r="J298" s="499"/>
      <c r="K298" s="499"/>
      <c r="L298" s="495"/>
      <c r="M298" s="499"/>
      <c r="N298" s="500" t="s">
        <v>413</v>
      </c>
      <c r="O298" s="788" t="s">
        <v>413</v>
      </c>
      <c r="P298" s="811"/>
      <c r="Q298" s="603"/>
      <c r="R298" s="605" t="s">
        <v>413</v>
      </c>
      <c r="S298" s="606"/>
      <c r="T298" s="1279" t="s">
        <v>413</v>
      </c>
      <c r="U298" s="604"/>
      <c r="V298" s="499"/>
      <c r="W298" s="499"/>
      <c r="X298" s="604"/>
      <c r="Y298" s="848" t="s">
        <v>413</v>
      </c>
      <c r="Z298" s="811"/>
      <c r="AA298" s="811"/>
      <c r="AB298" s="811"/>
      <c r="AC298" s="941" t="s">
        <v>413</v>
      </c>
      <c r="AD298" s="835" t="s">
        <v>413</v>
      </c>
      <c r="AE298" s="811"/>
      <c r="AF298" s="802"/>
    </row>
    <row r="299" spans="1:32" ht="14.25">
      <c r="A299" s="990"/>
      <c r="B299" s="991"/>
      <c r="C299" s="991" t="s">
        <v>612</v>
      </c>
      <c r="D299" s="1110"/>
      <c r="E299" s="1028"/>
      <c r="F299" s="1041"/>
      <c r="G299" s="1066"/>
      <c r="H299" s="620"/>
      <c r="I299" s="620"/>
      <c r="J299" s="1043"/>
      <c r="K299" s="1032"/>
      <c r="L299" s="1251"/>
      <c r="M299" s="1043"/>
      <c r="N299" s="1264" t="s">
        <v>413</v>
      </c>
      <c r="O299" s="815" t="s">
        <v>413</v>
      </c>
      <c r="P299" s="812"/>
      <c r="Q299" s="507"/>
      <c r="R299" s="201" t="s">
        <v>413</v>
      </c>
      <c r="S299" s="201"/>
      <c r="T299" s="1278" t="s">
        <v>413</v>
      </c>
      <c r="U299" s="511"/>
      <c r="V299" s="620"/>
      <c r="W299" s="613"/>
      <c r="X299" s="511"/>
      <c r="Y299" s="846" t="s">
        <v>413</v>
      </c>
      <c r="Z299" s="828"/>
      <c r="AA299" s="838"/>
      <c r="AB299" s="830"/>
      <c r="AC299" s="940" t="s">
        <v>413</v>
      </c>
      <c r="AD299" s="830" t="s">
        <v>413</v>
      </c>
      <c r="AE299" s="830"/>
      <c r="AF299" s="803"/>
    </row>
    <row r="300" spans="1:32" ht="14.25">
      <c r="A300" s="154">
        <v>5061</v>
      </c>
      <c r="B300" s="992"/>
      <c r="C300" s="992" t="s">
        <v>1388</v>
      </c>
      <c r="D300" s="208">
        <v>65</v>
      </c>
      <c r="E300" s="504">
        <v>35000</v>
      </c>
      <c r="F300" s="509">
        <v>65</v>
      </c>
      <c r="G300" s="1068">
        <v>100</v>
      </c>
      <c r="H300" s="511">
        <v>88</v>
      </c>
      <c r="I300" s="511">
        <v>122</v>
      </c>
      <c r="J300" s="766">
        <v>60</v>
      </c>
      <c r="K300" s="145" t="s">
        <v>347</v>
      </c>
      <c r="L300" s="492">
        <v>12</v>
      </c>
      <c r="M300" s="782">
        <v>1100</v>
      </c>
      <c r="N300" s="500">
        <v>0.1</v>
      </c>
      <c r="O300" s="788">
        <v>1.05</v>
      </c>
      <c r="P300" s="492">
        <v>38</v>
      </c>
      <c r="Q300" s="609">
        <v>0.1666</v>
      </c>
      <c r="R300" s="610">
        <v>1914</v>
      </c>
      <c r="S300" s="610">
        <v>161</v>
      </c>
      <c r="T300" s="1277">
        <v>3483</v>
      </c>
      <c r="U300" s="620">
        <v>52.975</v>
      </c>
      <c r="V300" s="511">
        <v>33.40909090909091</v>
      </c>
      <c r="W300" s="506"/>
      <c r="X300" s="620">
        <v>4.6648</v>
      </c>
      <c r="Y300" s="848">
        <v>33.40909090909091</v>
      </c>
      <c r="Z300" s="831">
        <v>65.39325</v>
      </c>
      <c r="AA300" s="861">
        <v>100.605</v>
      </c>
      <c r="AB300" s="826"/>
      <c r="AC300" s="939">
        <v>70</v>
      </c>
      <c r="AD300" s="826" t="s">
        <v>484</v>
      </c>
      <c r="AE300" s="826">
        <v>0</v>
      </c>
      <c r="AF300" s="804">
        <v>5061</v>
      </c>
    </row>
    <row r="301" spans="1:32" ht="14.25">
      <c r="A301" s="990">
        <v>5062</v>
      </c>
      <c r="B301" s="991"/>
      <c r="C301" s="991" t="s">
        <v>1340</v>
      </c>
      <c r="D301" s="1110">
        <v>75</v>
      </c>
      <c r="E301" s="1028">
        <v>48000</v>
      </c>
      <c r="F301" s="1041">
        <v>90</v>
      </c>
      <c r="G301" s="1067">
        <v>120</v>
      </c>
      <c r="H301" s="620">
        <v>110</v>
      </c>
      <c r="I301" s="620">
        <v>150</v>
      </c>
      <c r="J301" s="1043">
        <v>70</v>
      </c>
      <c r="K301" s="1032" t="s">
        <v>347</v>
      </c>
      <c r="L301" s="1251">
        <v>12</v>
      </c>
      <c r="M301" s="1252">
        <v>1200</v>
      </c>
      <c r="N301" s="1264">
        <v>0.1</v>
      </c>
      <c r="O301" s="815">
        <v>1.05</v>
      </c>
      <c r="P301" s="812">
        <v>43</v>
      </c>
      <c r="Q301" s="618">
        <v>0.1</v>
      </c>
      <c r="R301" s="619">
        <v>3045</v>
      </c>
      <c r="S301" s="619">
        <v>196</v>
      </c>
      <c r="T301" s="1278">
        <v>4722</v>
      </c>
      <c r="U301" s="631">
        <v>41.3875</v>
      </c>
      <c r="V301" s="620">
        <v>42</v>
      </c>
      <c r="W301" s="613"/>
      <c r="X301" s="631">
        <v>2.8000000000000003</v>
      </c>
      <c r="Y301" s="846">
        <v>42</v>
      </c>
      <c r="Z301" s="828">
        <v>90.30214285714287</v>
      </c>
      <c r="AA301" s="838">
        <v>120.40285714285714</v>
      </c>
      <c r="AB301" s="830"/>
      <c r="AC301" s="940">
        <v>96</v>
      </c>
      <c r="AD301" s="830" t="s">
        <v>484</v>
      </c>
      <c r="AE301" s="830">
        <v>0</v>
      </c>
      <c r="AF301" s="803">
        <v>5062</v>
      </c>
    </row>
    <row r="302" spans="1:32" ht="14.25">
      <c r="A302" s="154">
        <v>5067</v>
      </c>
      <c r="B302" s="992"/>
      <c r="C302" s="992" t="s">
        <v>1341</v>
      </c>
      <c r="D302" s="208">
        <v>120</v>
      </c>
      <c r="E302" s="504">
        <v>76000</v>
      </c>
      <c r="F302" s="509">
        <v>169</v>
      </c>
      <c r="G302" s="1068">
        <v>140</v>
      </c>
      <c r="H302" s="511">
        <v>123</v>
      </c>
      <c r="I302" s="511">
        <v>170</v>
      </c>
      <c r="J302" s="766">
        <v>95</v>
      </c>
      <c r="K302" s="145" t="s">
        <v>347</v>
      </c>
      <c r="L302" s="492">
        <v>12</v>
      </c>
      <c r="M302" s="782">
        <v>1600</v>
      </c>
      <c r="N302" s="500">
        <v>0.1</v>
      </c>
      <c r="O302" s="788">
        <v>1.05</v>
      </c>
      <c r="P302" s="492">
        <v>56</v>
      </c>
      <c r="Q302" s="609">
        <v>0.0666</v>
      </c>
      <c r="R302" s="610">
        <v>4577.8</v>
      </c>
      <c r="S302" s="610">
        <v>238</v>
      </c>
      <c r="T302" s="1277">
        <v>7404</v>
      </c>
      <c r="U302" s="620">
        <v>40.915</v>
      </c>
      <c r="V302" s="511">
        <v>49.875</v>
      </c>
      <c r="W302" s="506"/>
      <c r="X302" s="620">
        <v>1.8648000000000002</v>
      </c>
      <c r="Y302" s="848">
        <v>49.875</v>
      </c>
      <c r="Z302" s="831">
        <v>168.7116315789474</v>
      </c>
      <c r="AA302" s="861">
        <v>140.59302631578947</v>
      </c>
      <c r="AB302" s="826"/>
      <c r="AC302" s="939">
        <v>152</v>
      </c>
      <c r="AD302" s="826" t="s">
        <v>484</v>
      </c>
      <c r="AE302" s="826">
        <v>0</v>
      </c>
      <c r="AF302" s="804">
        <v>5067</v>
      </c>
    </row>
    <row r="303" spans="1:32" ht="57">
      <c r="A303" s="990">
        <v>5063</v>
      </c>
      <c r="B303" s="991"/>
      <c r="C303" s="991" t="s">
        <v>1342</v>
      </c>
      <c r="D303" s="1110">
        <v>50</v>
      </c>
      <c r="E303" s="1028">
        <v>71000</v>
      </c>
      <c r="F303" s="1041">
        <v>98</v>
      </c>
      <c r="G303" s="1067">
        <v>200</v>
      </c>
      <c r="H303" s="620"/>
      <c r="I303" s="620">
        <v>230</v>
      </c>
      <c r="J303" s="1043">
        <v>80</v>
      </c>
      <c r="K303" s="1032" t="s">
        <v>347</v>
      </c>
      <c r="L303" s="1251">
        <v>12</v>
      </c>
      <c r="M303" s="1252">
        <v>1000</v>
      </c>
      <c r="N303" s="1264">
        <v>0</v>
      </c>
      <c r="O303" s="815">
        <v>1.2</v>
      </c>
      <c r="P303" s="812">
        <v>44</v>
      </c>
      <c r="Q303" s="618">
        <v>0.1</v>
      </c>
      <c r="R303" s="619">
        <v>2824.6</v>
      </c>
      <c r="S303" s="619">
        <v>189</v>
      </c>
      <c r="T303" s="1278">
        <v>7387.666666666667</v>
      </c>
      <c r="U303" s="631">
        <v>51.193333333333335</v>
      </c>
      <c r="V303" s="620">
        <v>85.2</v>
      </c>
      <c r="W303" s="613"/>
      <c r="X303" s="631">
        <v>2.8000000000000003</v>
      </c>
      <c r="Y303" s="846">
        <v>85.2</v>
      </c>
      <c r="Z303" s="828">
        <v>97.65020833333335</v>
      </c>
      <c r="AA303" s="838">
        <v>195.3004166666667</v>
      </c>
      <c r="AB303" s="830"/>
      <c r="AC303" s="940">
        <v>142</v>
      </c>
      <c r="AD303" s="830" t="s">
        <v>484</v>
      </c>
      <c r="AE303" s="830">
        <v>0</v>
      </c>
      <c r="AF303" s="803">
        <v>5063</v>
      </c>
    </row>
    <row r="304" spans="1:32" ht="14.25">
      <c r="A304" s="154">
        <v>5066</v>
      </c>
      <c r="B304" s="992"/>
      <c r="C304" s="992" t="s">
        <v>989</v>
      </c>
      <c r="D304" s="208"/>
      <c r="E304" s="504">
        <v>3200</v>
      </c>
      <c r="F304" s="509"/>
      <c r="G304" s="1068">
        <v>22</v>
      </c>
      <c r="H304" s="511">
        <v>19</v>
      </c>
      <c r="I304" s="511">
        <v>26</v>
      </c>
      <c r="J304" s="766">
        <v>25</v>
      </c>
      <c r="K304" s="145" t="s">
        <v>347</v>
      </c>
      <c r="L304" s="492">
        <v>12</v>
      </c>
      <c r="M304" s="766">
        <v>500</v>
      </c>
      <c r="N304" s="500">
        <v>0.1</v>
      </c>
      <c r="O304" s="788">
        <v>1.2</v>
      </c>
      <c r="P304" s="492"/>
      <c r="Q304" s="507"/>
      <c r="R304" s="201" t="s">
        <v>413</v>
      </c>
      <c r="S304" s="201"/>
      <c r="T304" s="1277">
        <v>297.6</v>
      </c>
      <c r="U304" s="511"/>
      <c r="V304" s="511">
        <v>7.68</v>
      </c>
      <c r="W304" s="506"/>
      <c r="X304" s="511"/>
      <c r="Y304" s="848">
        <v>7.68</v>
      </c>
      <c r="Z304" s="831"/>
      <c r="AA304" s="861">
        <v>21.542400000000004</v>
      </c>
      <c r="AB304" s="826"/>
      <c r="AC304" s="939">
        <v>6.4</v>
      </c>
      <c r="AD304" s="826" t="s">
        <v>484</v>
      </c>
      <c r="AE304" s="826">
        <v>0</v>
      </c>
      <c r="AF304" s="804">
        <v>5066</v>
      </c>
    </row>
    <row r="305" spans="1:32" ht="14.25">
      <c r="A305" s="496"/>
      <c r="B305" s="761"/>
      <c r="C305" s="496"/>
      <c r="D305" s="499"/>
      <c r="E305" s="504"/>
      <c r="F305" s="496"/>
      <c r="G305" s="496"/>
      <c r="H305" s="495"/>
      <c r="I305" s="495"/>
      <c r="J305" s="499"/>
      <c r="K305" s="495"/>
      <c r="L305" s="496"/>
      <c r="M305" s="499"/>
      <c r="N305" s="500" t="s">
        <v>413</v>
      </c>
      <c r="O305" s="788" t="s">
        <v>413</v>
      </c>
      <c r="P305" s="810"/>
      <c r="Q305" s="603"/>
      <c r="R305" s="605" t="s">
        <v>413</v>
      </c>
      <c r="S305" s="606"/>
      <c r="T305" s="1277" t="s">
        <v>413</v>
      </c>
      <c r="U305" s="604"/>
      <c r="V305" s="496"/>
      <c r="W305" s="496"/>
      <c r="X305" s="604"/>
      <c r="Y305" s="848" t="s">
        <v>413</v>
      </c>
      <c r="Z305" s="802"/>
      <c r="AA305" s="802"/>
      <c r="AB305" s="802"/>
      <c r="AC305" s="939" t="s">
        <v>413</v>
      </c>
      <c r="AD305" s="826" t="s">
        <v>413</v>
      </c>
      <c r="AE305" s="802"/>
      <c r="AF305" s="802"/>
    </row>
    <row r="306" spans="1:32" ht="14.25">
      <c r="A306" s="987">
        <v>5080</v>
      </c>
      <c r="B306" s="988"/>
      <c r="C306" s="989" t="s">
        <v>613</v>
      </c>
      <c r="D306" s="1026"/>
      <c r="E306" s="1022"/>
      <c r="F306" s="1023"/>
      <c r="G306" s="1024"/>
      <c r="H306" s="1025"/>
      <c r="I306" s="1025"/>
      <c r="J306" s="1026"/>
      <c r="K306" s="1026"/>
      <c r="L306" s="1021"/>
      <c r="M306" s="1026"/>
      <c r="N306" s="1263" t="s">
        <v>413</v>
      </c>
      <c r="O306" s="816" t="s">
        <v>413</v>
      </c>
      <c r="P306" s="809"/>
      <c r="Q306" s="507"/>
      <c r="R306" s="201" t="s">
        <v>413</v>
      </c>
      <c r="S306" s="201"/>
      <c r="T306" s="1276" t="s">
        <v>413</v>
      </c>
      <c r="U306" s="511"/>
      <c r="V306" s="1025"/>
      <c r="W306" s="1025"/>
      <c r="X306" s="511"/>
      <c r="Y306" s="874" t="s">
        <v>413</v>
      </c>
      <c r="Z306" s="820"/>
      <c r="AA306" s="821"/>
      <c r="AB306" s="822"/>
      <c r="AC306" s="938" t="s">
        <v>413</v>
      </c>
      <c r="AD306" s="822" t="s">
        <v>413</v>
      </c>
      <c r="AE306" s="822"/>
      <c r="AF306" s="801">
        <v>5080</v>
      </c>
    </row>
    <row r="307" spans="1:32" ht="14.25">
      <c r="A307" s="496"/>
      <c r="B307" s="761"/>
      <c r="C307" s="761"/>
      <c r="D307" s="499"/>
      <c r="E307" s="203"/>
      <c r="F307" s="499"/>
      <c r="G307" s="495"/>
      <c r="H307" s="495"/>
      <c r="I307" s="495"/>
      <c r="J307" s="499"/>
      <c r="K307" s="499"/>
      <c r="L307" s="495"/>
      <c r="M307" s="499"/>
      <c r="N307" s="500" t="s">
        <v>413</v>
      </c>
      <c r="O307" s="788" t="s">
        <v>413</v>
      </c>
      <c r="P307" s="811"/>
      <c r="Q307" s="609">
        <v>0.2</v>
      </c>
      <c r="R307" s="610">
        <v>2337.6</v>
      </c>
      <c r="S307" s="610">
        <v>203</v>
      </c>
      <c r="T307" s="1279" t="s">
        <v>413</v>
      </c>
      <c r="U307" s="620">
        <v>64.715</v>
      </c>
      <c r="V307" s="499"/>
      <c r="W307" s="499"/>
      <c r="X307" s="620">
        <v>5.6000000000000005</v>
      </c>
      <c r="Y307" s="848" t="s">
        <v>413</v>
      </c>
      <c r="Z307" s="811"/>
      <c r="AA307" s="811"/>
      <c r="AB307" s="811"/>
      <c r="AC307" s="941" t="s">
        <v>413</v>
      </c>
      <c r="AD307" s="835" t="s">
        <v>413</v>
      </c>
      <c r="AE307" s="811"/>
      <c r="AF307" s="802"/>
    </row>
    <row r="308" spans="1:32" ht="14.25">
      <c r="A308" s="990">
        <v>5081</v>
      </c>
      <c r="B308" s="991"/>
      <c r="C308" s="991" t="s">
        <v>614</v>
      </c>
      <c r="D308" s="1110">
        <v>395</v>
      </c>
      <c r="E308" s="1028">
        <v>8700</v>
      </c>
      <c r="F308" s="1041">
        <v>86</v>
      </c>
      <c r="G308" s="1067">
        <v>22</v>
      </c>
      <c r="H308" s="620">
        <v>18</v>
      </c>
      <c r="I308" s="620">
        <v>28</v>
      </c>
      <c r="J308" s="1043">
        <v>50</v>
      </c>
      <c r="K308" s="1032" t="s">
        <v>347</v>
      </c>
      <c r="L308" s="1251">
        <v>15</v>
      </c>
      <c r="M308" s="1252">
        <v>2000</v>
      </c>
      <c r="N308" s="1264">
        <v>0.25</v>
      </c>
      <c r="O308" s="815">
        <v>0.9</v>
      </c>
      <c r="P308" s="812">
        <v>32</v>
      </c>
      <c r="Q308" s="618">
        <v>0.1</v>
      </c>
      <c r="R308" s="619">
        <v>5162.2</v>
      </c>
      <c r="S308" s="619">
        <v>287</v>
      </c>
      <c r="T308" s="1278">
        <v>796.65</v>
      </c>
      <c r="U308" s="631">
        <v>69.44</v>
      </c>
      <c r="V308" s="620">
        <v>3.9149999999999996</v>
      </c>
      <c r="W308" s="613"/>
      <c r="X308" s="631">
        <v>2.8000000000000003</v>
      </c>
      <c r="Y308" s="846">
        <v>3.9149999999999996</v>
      </c>
      <c r="Z308" s="828">
        <v>86.23956</v>
      </c>
      <c r="AA308" s="838">
        <v>21.8328</v>
      </c>
      <c r="AB308" s="830"/>
      <c r="AC308" s="940">
        <v>17.400000000000002</v>
      </c>
      <c r="AD308" s="830" t="s">
        <v>484</v>
      </c>
      <c r="AE308" s="830">
        <v>0</v>
      </c>
      <c r="AF308" s="803">
        <v>5081</v>
      </c>
    </row>
    <row r="309" spans="1:32" ht="14.25">
      <c r="A309" s="154">
        <v>5082</v>
      </c>
      <c r="B309" s="992"/>
      <c r="C309" s="992" t="s">
        <v>990</v>
      </c>
      <c r="D309" s="208">
        <v>556</v>
      </c>
      <c r="E309" s="504">
        <v>13500</v>
      </c>
      <c r="F309" s="509">
        <v>121</v>
      </c>
      <c r="G309" s="1068">
        <v>22</v>
      </c>
      <c r="H309" s="511">
        <v>18</v>
      </c>
      <c r="I309" s="511">
        <v>27</v>
      </c>
      <c r="J309" s="766">
        <v>75</v>
      </c>
      <c r="K309" s="145" t="s">
        <v>347</v>
      </c>
      <c r="L309" s="492">
        <v>15</v>
      </c>
      <c r="M309" s="782">
        <v>3000</v>
      </c>
      <c r="N309" s="500">
        <v>0.25</v>
      </c>
      <c r="O309" s="788">
        <v>0.9</v>
      </c>
      <c r="P309" s="492">
        <v>40</v>
      </c>
      <c r="Q309" s="507"/>
      <c r="R309" s="201" t="s">
        <v>413</v>
      </c>
      <c r="S309" s="201"/>
      <c r="T309" s="1277">
        <v>1178.25</v>
      </c>
      <c r="U309" s="511"/>
      <c r="V309" s="511">
        <v>4.05</v>
      </c>
      <c r="W309" s="506"/>
      <c r="X309" s="511"/>
      <c r="Y309" s="848">
        <v>4.05</v>
      </c>
      <c r="Z309" s="831">
        <v>120.85216000000003</v>
      </c>
      <c r="AA309" s="861">
        <v>21.736000000000004</v>
      </c>
      <c r="AB309" s="826"/>
      <c r="AC309" s="939">
        <v>27</v>
      </c>
      <c r="AD309" s="826" t="s">
        <v>484</v>
      </c>
      <c r="AE309" s="826">
        <v>0</v>
      </c>
      <c r="AF309" s="804">
        <v>5082</v>
      </c>
    </row>
    <row r="310" spans="1:32" ht="14.25">
      <c r="A310" s="990">
        <v>5083</v>
      </c>
      <c r="B310" s="991"/>
      <c r="C310" s="991" t="s">
        <v>991</v>
      </c>
      <c r="D310" s="1110">
        <v>718</v>
      </c>
      <c r="E310" s="1028">
        <v>18500</v>
      </c>
      <c r="F310" s="1041">
        <v>169</v>
      </c>
      <c r="G310" s="1067">
        <v>24</v>
      </c>
      <c r="H310" s="620">
        <v>20</v>
      </c>
      <c r="I310" s="620">
        <v>30</v>
      </c>
      <c r="J310" s="1043">
        <v>90</v>
      </c>
      <c r="K310" s="1032" t="s">
        <v>347</v>
      </c>
      <c r="L310" s="1251">
        <v>15</v>
      </c>
      <c r="M310" s="1252">
        <v>4000</v>
      </c>
      <c r="N310" s="1264">
        <v>0.25</v>
      </c>
      <c r="O310" s="815">
        <v>0.9</v>
      </c>
      <c r="P310" s="812">
        <v>45</v>
      </c>
      <c r="Q310" s="603"/>
      <c r="R310" s="605" t="s">
        <v>413</v>
      </c>
      <c r="S310" s="606"/>
      <c r="T310" s="1278">
        <v>1555.75</v>
      </c>
      <c r="U310" s="604"/>
      <c r="V310" s="620">
        <v>4.1625000000000005</v>
      </c>
      <c r="W310" s="613"/>
      <c r="X310" s="604"/>
      <c r="Y310" s="846">
        <v>4.1625000000000005</v>
      </c>
      <c r="Z310" s="828">
        <v>169.40113055555557</v>
      </c>
      <c r="AA310" s="838">
        <v>23.593472222222225</v>
      </c>
      <c r="AB310" s="830"/>
      <c r="AC310" s="940">
        <v>37</v>
      </c>
      <c r="AD310" s="830" t="s">
        <v>484</v>
      </c>
      <c r="AE310" s="830">
        <v>0</v>
      </c>
      <c r="AF310" s="803">
        <v>5083</v>
      </c>
    </row>
    <row r="311" spans="1:32" ht="14.25">
      <c r="A311" s="496"/>
      <c r="B311" s="761"/>
      <c r="C311" s="761"/>
      <c r="D311" s="208"/>
      <c r="E311" s="203"/>
      <c r="F311" s="765"/>
      <c r="G311" s="1065"/>
      <c r="H311" s="511"/>
      <c r="I311" s="511"/>
      <c r="J311" s="766"/>
      <c r="K311" s="499"/>
      <c r="L311" s="495"/>
      <c r="M311" s="766"/>
      <c r="N311" s="500" t="s">
        <v>413</v>
      </c>
      <c r="O311" s="788" t="s">
        <v>413</v>
      </c>
      <c r="P311" s="811"/>
      <c r="Q311" s="507"/>
      <c r="R311" s="201" t="s">
        <v>413</v>
      </c>
      <c r="S311" s="201"/>
      <c r="T311" s="1279" t="s">
        <v>413</v>
      </c>
      <c r="U311" s="511"/>
      <c r="V311" s="1285"/>
      <c r="W311" s="1284"/>
      <c r="X311" s="511"/>
      <c r="Y311" s="848" t="s">
        <v>413</v>
      </c>
      <c r="Z311" s="834"/>
      <c r="AA311" s="875"/>
      <c r="AB311" s="811"/>
      <c r="AC311" s="941" t="s">
        <v>413</v>
      </c>
      <c r="AD311" s="835" t="s">
        <v>413</v>
      </c>
      <c r="AE311" s="835"/>
      <c r="AF311" s="802"/>
    </row>
    <row r="312" spans="1:32" ht="14.25">
      <c r="A312" s="987">
        <v>5090</v>
      </c>
      <c r="B312" s="988"/>
      <c r="C312" s="989" t="s">
        <v>615</v>
      </c>
      <c r="D312" s="1026"/>
      <c r="E312" s="1022"/>
      <c r="F312" s="1023"/>
      <c r="G312" s="1024"/>
      <c r="H312" s="1025"/>
      <c r="I312" s="1025"/>
      <c r="J312" s="1026"/>
      <c r="K312" s="1026"/>
      <c r="L312" s="1021"/>
      <c r="M312" s="1026"/>
      <c r="N312" s="1263" t="s">
        <v>413</v>
      </c>
      <c r="O312" s="816" t="s">
        <v>413</v>
      </c>
      <c r="P312" s="809"/>
      <c r="Q312" s="609">
        <v>0.5</v>
      </c>
      <c r="R312" s="610">
        <v>387.4</v>
      </c>
      <c r="S312" s="610">
        <v>91</v>
      </c>
      <c r="T312" s="1276" t="s">
        <v>413</v>
      </c>
      <c r="U312" s="620">
        <v>61.099999999999994</v>
      </c>
      <c r="V312" s="1025"/>
      <c r="W312" s="1025"/>
      <c r="X312" s="620">
        <v>14</v>
      </c>
      <c r="Y312" s="874" t="s">
        <v>413</v>
      </c>
      <c r="Z312" s="820"/>
      <c r="AA312" s="821"/>
      <c r="AB312" s="822"/>
      <c r="AC312" s="938" t="s">
        <v>413</v>
      </c>
      <c r="AD312" s="822" t="s">
        <v>413</v>
      </c>
      <c r="AE312" s="822"/>
      <c r="AF312" s="801">
        <v>5090</v>
      </c>
    </row>
    <row r="313" spans="1:32" ht="14.25">
      <c r="A313" s="496"/>
      <c r="B313" s="761"/>
      <c r="C313" s="761"/>
      <c r="D313" s="208"/>
      <c r="E313" s="203"/>
      <c r="F313" s="765"/>
      <c r="G313" s="1065"/>
      <c r="H313" s="511"/>
      <c r="I313" s="511"/>
      <c r="J313" s="766"/>
      <c r="K313" s="499"/>
      <c r="L313" s="495"/>
      <c r="M313" s="766"/>
      <c r="N313" s="500" t="s">
        <v>413</v>
      </c>
      <c r="O313" s="788" t="s">
        <v>413</v>
      </c>
      <c r="P313" s="811"/>
      <c r="Q313" s="507">
        <v>0.5</v>
      </c>
      <c r="R313" s="201">
        <v>677.95</v>
      </c>
      <c r="S313" s="201">
        <v>154</v>
      </c>
      <c r="T313" s="1279" t="s">
        <v>413</v>
      </c>
      <c r="U313" s="511">
        <v>56.67666666666667</v>
      </c>
      <c r="V313" s="1285"/>
      <c r="W313" s="1284"/>
      <c r="X313" s="511">
        <v>14</v>
      </c>
      <c r="Y313" s="848" t="s">
        <v>413</v>
      </c>
      <c r="Z313" s="834"/>
      <c r="AA313" s="875"/>
      <c r="AB313" s="811"/>
      <c r="AC313" s="941" t="s">
        <v>413</v>
      </c>
      <c r="AD313" s="835" t="s">
        <v>413</v>
      </c>
      <c r="AE313" s="835"/>
      <c r="AF313" s="802"/>
    </row>
    <row r="314" spans="1:32" ht="14.25">
      <c r="A314" s="990">
        <v>5091</v>
      </c>
      <c r="B314" s="991"/>
      <c r="C314" s="991" t="s">
        <v>992</v>
      </c>
      <c r="D314" s="1110">
        <v>125</v>
      </c>
      <c r="E314" s="1028">
        <v>7300</v>
      </c>
      <c r="F314" s="1041">
        <v>45</v>
      </c>
      <c r="G314" s="1067">
        <v>36</v>
      </c>
      <c r="H314" s="620">
        <v>32</v>
      </c>
      <c r="I314" s="620">
        <v>42</v>
      </c>
      <c r="J314" s="1043">
        <v>40</v>
      </c>
      <c r="K314" s="1032" t="s">
        <v>347</v>
      </c>
      <c r="L314" s="1251">
        <v>15</v>
      </c>
      <c r="M314" s="1043">
        <v>900</v>
      </c>
      <c r="N314" s="1264">
        <v>0.1</v>
      </c>
      <c r="O314" s="815">
        <v>1.85</v>
      </c>
      <c r="P314" s="812">
        <v>23</v>
      </c>
      <c r="Q314" s="609">
        <v>0.25</v>
      </c>
      <c r="R314" s="610">
        <v>1080.25</v>
      </c>
      <c r="S314" s="610">
        <v>84</v>
      </c>
      <c r="T314" s="1278">
        <v>707.4</v>
      </c>
      <c r="U314" s="620">
        <v>149.15625</v>
      </c>
      <c r="V314" s="620">
        <v>15.005555555555556</v>
      </c>
      <c r="W314" s="613"/>
      <c r="X314" s="620">
        <v>7</v>
      </c>
      <c r="Y314" s="846">
        <v>15.005555555555556</v>
      </c>
      <c r="Z314" s="828">
        <v>44.949513888888895</v>
      </c>
      <c r="AA314" s="838">
        <v>35.959611111111116</v>
      </c>
      <c r="AB314" s="830"/>
      <c r="AC314" s="940">
        <v>14.6</v>
      </c>
      <c r="AD314" s="830" t="s">
        <v>484</v>
      </c>
      <c r="AE314" s="830">
        <v>0</v>
      </c>
      <c r="AF314" s="803">
        <v>5091</v>
      </c>
    </row>
    <row r="315" spans="1:32" ht="16.5" customHeight="1">
      <c r="A315" s="154">
        <v>5092</v>
      </c>
      <c r="B315" s="992"/>
      <c r="C315" s="992" t="s">
        <v>616</v>
      </c>
      <c r="D315" s="208">
        <v>140</v>
      </c>
      <c r="E315" s="504">
        <v>14000</v>
      </c>
      <c r="F315" s="509">
        <v>77</v>
      </c>
      <c r="G315" s="1068">
        <v>55</v>
      </c>
      <c r="H315" s="511">
        <v>48</v>
      </c>
      <c r="I315" s="511">
        <v>67</v>
      </c>
      <c r="J315" s="766">
        <v>40</v>
      </c>
      <c r="K315" s="145" t="s">
        <v>347</v>
      </c>
      <c r="L315" s="492">
        <v>15</v>
      </c>
      <c r="M315" s="766">
        <v>900</v>
      </c>
      <c r="N315" s="500">
        <v>0.1</v>
      </c>
      <c r="O315" s="788">
        <v>1.15</v>
      </c>
      <c r="P315" s="492">
        <v>33</v>
      </c>
      <c r="Q315" s="507">
        <v>0.167</v>
      </c>
      <c r="R315" s="201">
        <v>1937</v>
      </c>
      <c r="S315" s="201">
        <v>161</v>
      </c>
      <c r="T315" s="1277">
        <v>1290</v>
      </c>
      <c r="U315" s="511">
        <v>134.375</v>
      </c>
      <c r="V315" s="511">
        <v>17.888888888888886</v>
      </c>
      <c r="W315" s="506"/>
      <c r="X315" s="511">
        <v>4.676</v>
      </c>
      <c r="Y315" s="848">
        <v>17.888888888888886</v>
      </c>
      <c r="Z315" s="831">
        <v>77.21388888888889</v>
      </c>
      <c r="AA315" s="861">
        <v>55.15277777777778</v>
      </c>
      <c r="AB315" s="826"/>
      <c r="AC315" s="939">
        <v>28</v>
      </c>
      <c r="AD315" s="826" t="s">
        <v>484</v>
      </c>
      <c r="AE315" s="826">
        <v>0</v>
      </c>
      <c r="AF315" s="804">
        <v>5092</v>
      </c>
    </row>
    <row r="316" spans="1:32" ht="14.25">
      <c r="A316" s="990">
        <v>5095</v>
      </c>
      <c r="B316" s="991"/>
      <c r="C316" s="991" t="s">
        <v>1511</v>
      </c>
      <c r="D316" s="1110">
        <v>140</v>
      </c>
      <c r="E316" s="1028">
        <v>26000</v>
      </c>
      <c r="F316" s="1041">
        <v>78</v>
      </c>
      <c r="G316" s="1067">
        <v>56</v>
      </c>
      <c r="H316" s="1111">
        <v>46</v>
      </c>
      <c r="I316" s="620">
        <v>72</v>
      </c>
      <c r="J316" s="1043">
        <v>50</v>
      </c>
      <c r="K316" s="1032" t="s">
        <v>347</v>
      </c>
      <c r="L316" s="1251">
        <v>12</v>
      </c>
      <c r="M316" s="1252">
        <v>1800</v>
      </c>
      <c r="N316" s="1264">
        <v>0.25</v>
      </c>
      <c r="O316" s="815">
        <v>0.55</v>
      </c>
      <c r="P316" s="812">
        <v>2</v>
      </c>
      <c r="Q316" s="609">
        <v>0.25</v>
      </c>
      <c r="R316" s="610">
        <v>499.15</v>
      </c>
      <c r="S316" s="610">
        <v>98</v>
      </c>
      <c r="T316" s="1278">
        <v>2144</v>
      </c>
      <c r="U316" s="620">
        <v>61.05499999999999</v>
      </c>
      <c r="V316" s="620">
        <v>7.9444444444444455</v>
      </c>
      <c r="W316" s="613"/>
      <c r="X316" s="620">
        <v>7</v>
      </c>
      <c r="Y316" s="846">
        <v>7.9444444444444455</v>
      </c>
      <c r="Z316" s="828">
        <v>78.26964444444445</v>
      </c>
      <c r="AA316" s="838">
        <v>55.90688888888889</v>
      </c>
      <c r="AB316" s="830"/>
      <c r="AC316" s="940">
        <v>52</v>
      </c>
      <c r="AD316" s="830" t="s">
        <v>484</v>
      </c>
      <c r="AE316" s="830">
        <v>0</v>
      </c>
      <c r="AF316" s="803">
        <v>5095</v>
      </c>
    </row>
    <row r="317" spans="1:32" ht="14.25">
      <c r="A317" s="496"/>
      <c r="B317" s="761"/>
      <c r="C317" s="761"/>
      <c r="D317" s="208"/>
      <c r="E317" s="203"/>
      <c r="F317" s="765"/>
      <c r="G317" s="1065"/>
      <c r="H317" s="511"/>
      <c r="I317" s="511"/>
      <c r="J317" s="766"/>
      <c r="K317" s="499"/>
      <c r="L317" s="495"/>
      <c r="M317" s="766"/>
      <c r="N317" s="500" t="s">
        <v>413</v>
      </c>
      <c r="O317" s="788" t="s">
        <v>413</v>
      </c>
      <c r="P317" s="811"/>
      <c r="Q317" s="507">
        <v>0.25</v>
      </c>
      <c r="R317" s="201">
        <v>514.05</v>
      </c>
      <c r="S317" s="201">
        <v>98</v>
      </c>
      <c r="T317" s="1279" t="s">
        <v>413</v>
      </c>
      <c r="U317" s="511">
        <v>156.46249999999998</v>
      </c>
      <c r="V317" s="1285"/>
      <c r="W317" s="1284"/>
      <c r="X317" s="511">
        <v>7</v>
      </c>
      <c r="Y317" s="848" t="s">
        <v>413</v>
      </c>
      <c r="Z317" s="834"/>
      <c r="AA317" s="875"/>
      <c r="AB317" s="811"/>
      <c r="AC317" s="941" t="s">
        <v>413</v>
      </c>
      <c r="AD317" s="835" t="s">
        <v>413</v>
      </c>
      <c r="AE317" s="835"/>
      <c r="AF317" s="802"/>
    </row>
    <row r="318" spans="1:32" ht="14.25">
      <c r="A318" s="987">
        <v>5100</v>
      </c>
      <c r="B318" s="988"/>
      <c r="C318" s="989" t="s">
        <v>617</v>
      </c>
      <c r="D318" s="1026"/>
      <c r="E318" s="1022"/>
      <c r="F318" s="1023"/>
      <c r="G318" s="1024"/>
      <c r="H318" s="1025"/>
      <c r="I318" s="1025"/>
      <c r="J318" s="1026"/>
      <c r="K318" s="1026"/>
      <c r="L318" s="1021"/>
      <c r="M318" s="1026"/>
      <c r="N318" s="1263" t="s">
        <v>413</v>
      </c>
      <c r="O318" s="816" t="s">
        <v>413</v>
      </c>
      <c r="P318" s="809"/>
      <c r="Q318" s="603"/>
      <c r="R318" s="605" t="s">
        <v>413</v>
      </c>
      <c r="S318" s="606"/>
      <c r="T318" s="1276" t="s">
        <v>413</v>
      </c>
      <c r="U318" s="604"/>
      <c r="V318" s="1025"/>
      <c r="W318" s="1025"/>
      <c r="X318" s="604"/>
      <c r="Y318" s="874" t="s">
        <v>413</v>
      </c>
      <c r="Z318" s="820"/>
      <c r="AA318" s="821"/>
      <c r="AB318" s="822"/>
      <c r="AC318" s="938" t="s">
        <v>413</v>
      </c>
      <c r="AD318" s="822" t="s">
        <v>413</v>
      </c>
      <c r="AE318" s="822"/>
      <c r="AF318" s="801">
        <v>5100</v>
      </c>
    </row>
    <row r="319" spans="1:32" ht="14.25">
      <c r="A319" s="496"/>
      <c r="B319" s="761"/>
      <c r="C319" s="761"/>
      <c r="D319" s="208"/>
      <c r="E319" s="203"/>
      <c r="F319" s="765"/>
      <c r="G319" s="1065"/>
      <c r="H319" s="511"/>
      <c r="I319" s="511"/>
      <c r="J319" s="766"/>
      <c r="K319" s="499"/>
      <c r="L319" s="495"/>
      <c r="M319" s="766"/>
      <c r="N319" s="500" t="s">
        <v>413</v>
      </c>
      <c r="O319" s="788" t="s">
        <v>413</v>
      </c>
      <c r="P319" s="811"/>
      <c r="Q319" s="495"/>
      <c r="R319" s="201" t="s">
        <v>413</v>
      </c>
      <c r="S319" s="499"/>
      <c r="T319" s="1279" t="s">
        <v>413</v>
      </c>
      <c r="U319" s="495"/>
      <c r="V319" s="1285"/>
      <c r="W319" s="1284"/>
      <c r="X319" s="495"/>
      <c r="Y319" s="848" t="s">
        <v>413</v>
      </c>
      <c r="Z319" s="834"/>
      <c r="AA319" s="875"/>
      <c r="AB319" s="811"/>
      <c r="AC319" s="941" t="s">
        <v>413</v>
      </c>
      <c r="AD319" s="835" t="s">
        <v>413</v>
      </c>
      <c r="AE319" s="835"/>
      <c r="AF319" s="802"/>
    </row>
    <row r="320" spans="1:32" ht="14.25">
      <c r="A320" s="990">
        <v>5101</v>
      </c>
      <c r="B320" s="991"/>
      <c r="C320" s="991" t="s">
        <v>618</v>
      </c>
      <c r="D320" s="1110">
        <v>80</v>
      </c>
      <c r="E320" s="1028">
        <v>9900</v>
      </c>
      <c r="F320" s="1041">
        <v>39</v>
      </c>
      <c r="G320" s="1067">
        <v>49</v>
      </c>
      <c r="H320" s="620">
        <v>43</v>
      </c>
      <c r="I320" s="620">
        <v>59</v>
      </c>
      <c r="J320" s="1043">
        <v>35</v>
      </c>
      <c r="K320" s="1032" t="s">
        <v>347</v>
      </c>
      <c r="L320" s="1251">
        <v>15</v>
      </c>
      <c r="M320" s="1043">
        <v>700</v>
      </c>
      <c r="N320" s="1264">
        <v>0.1</v>
      </c>
      <c r="O320" s="815">
        <v>1.25</v>
      </c>
      <c r="P320" s="812">
        <v>28</v>
      </c>
      <c r="Q320" s="609" t="s">
        <v>347</v>
      </c>
      <c r="R320" s="610" t="s">
        <v>413</v>
      </c>
      <c r="S320" s="610"/>
      <c r="T320" s="1278">
        <v>940.1999999999999</v>
      </c>
      <c r="U320" s="620"/>
      <c r="V320" s="620">
        <v>17.678571428571427</v>
      </c>
      <c r="W320" s="613"/>
      <c r="X320" s="620"/>
      <c r="Y320" s="846">
        <v>17.678571428571427</v>
      </c>
      <c r="Z320" s="828">
        <v>39.19645714285714</v>
      </c>
      <c r="AA320" s="838">
        <v>48.99557142857143</v>
      </c>
      <c r="AB320" s="830"/>
      <c r="AC320" s="940">
        <v>19.8</v>
      </c>
      <c r="AD320" s="830" t="s">
        <v>484</v>
      </c>
      <c r="AE320" s="830">
        <v>0</v>
      </c>
      <c r="AF320" s="803">
        <v>5101</v>
      </c>
    </row>
    <row r="321" spans="1:32" ht="14.25">
      <c r="A321" s="154">
        <v>5102</v>
      </c>
      <c r="B321" s="992"/>
      <c r="C321" s="992" t="s">
        <v>993</v>
      </c>
      <c r="D321" s="208">
        <v>65</v>
      </c>
      <c r="E321" s="504">
        <v>15000</v>
      </c>
      <c r="F321" s="509">
        <v>54</v>
      </c>
      <c r="G321" s="1068">
        <v>82</v>
      </c>
      <c r="H321" s="511">
        <v>69</v>
      </c>
      <c r="I321" s="511">
        <v>104</v>
      </c>
      <c r="J321" s="766">
        <v>20</v>
      </c>
      <c r="K321" s="145" t="s">
        <v>347</v>
      </c>
      <c r="L321" s="492">
        <v>15</v>
      </c>
      <c r="M321" s="782">
        <v>1200</v>
      </c>
      <c r="N321" s="500">
        <v>0.25</v>
      </c>
      <c r="O321" s="788">
        <v>1.2</v>
      </c>
      <c r="P321" s="492">
        <v>26</v>
      </c>
      <c r="Q321" s="507">
        <v>0.1</v>
      </c>
      <c r="R321" s="201">
        <v>3603.8</v>
      </c>
      <c r="S321" s="201">
        <v>266</v>
      </c>
      <c r="T321" s="1277">
        <v>1198.5</v>
      </c>
      <c r="U321" s="511">
        <v>65.73</v>
      </c>
      <c r="V321" s="511">
        <v>15</v>
      </c>
      <c r="W321" s="506"/>
      <c r="X321" s="511">
        <v>2.8000000000000003</v>
      </c>
      <c r="Y321" s="848">
        <v>15</v>
      </c>
      <c r="Z321" s="831">
        <v>53.571374999999996</v>
      </c>
      <c r="AA321" s="861">
        <v>82.4175</v>
      </c>
      <c r="AB321" s="826"/>
      <c r="AC321" s="939">
        <v>30</v>
      </c>
      <c r="AD321" s="826" t="s">
        <v>484</v>
      </c>
      <c r="AE321" s="826">
        <v>0</v>
      </c>
      <c r="AF321" s="804">
        <v>5102</v>
      </c>
    </row>
    <row r="322" spans="1:32" ht="14.25">
      <c r="A322" s="990">
        <v>5104</v>
      </c>
      <c r="B322" s="991"/>
      <c r="C322" s="991" t="s">
        <v>619</v>
      </c>
      <c r="D322" s="1110">
        <v>65</v>
      </c>
      <c r="E322" s="1028">
        <v>26000</v>
      </c>
      <c r="F322" s="1041">
        <v>109</v>
      </c>
      <c r="G322" s="1067">
        <v>170</v>
      </c>
      <c r="H322" s="620">
        <v>150</v>
      </c>
      <c r="I322" s="620">
        <v>200</v>
      </c>
      <c r="J322" s="1043">
        <v>20</v>
      </c>
      <c r="K322" s="1032" t="s">
        <v>347</v>
      </c>
      <c r="L322" s="1251">
        <v>15</v>
      </c>
      <c r="M322" s="1043">
        <v>600</v>
      </c>
      <c r="N322" s="1264">
        <v>0.25</v>
      </c>
      <c r="O322" s="815">
        <v>1.25</v>
      </c>
      <c r="P322" s="812">
        <v>26</v>
      </c>
      <c r="Q322" s="609">
        <v>0.1</v>
      </c>
      <c r="R322" s="610">
        <v>4383</v>
      </c>
      <c r="S322" s="610">
        <v>301</v>
      </c>
      <c r="T322" s="1278">
        <v>1963</v>
      </c>
      <c r="U322" s="620">
        <v>68.2</v>
      </c>
      <c r="V322" s="620">
        <v>54.16666666666667</v>
      </c>
      <c r="W322" s="613"/>
      <c r="X322" s="620">
        <v>2.8000000000000003</v>
      </c>
      <c r="Y322" s="846">
        <v>54.16666666666667</v>
      </c>
      <c r="Z322" s="828">
        <v>108.90641666666669</v>
      </c>
      <c r="AA322" s="838">
        <v>167.54833333333335</v>
      </c>
      <c r="AB322" s="830"/>
      <c r="AC322" s="940">
        <v>52</v>
      </c>
      <c r="AD322" s="830" t="s">
        <v>484</v>
      </c>
      <c r="AE322" s="830">
        <v>0</v>
      </c>
      <c r="AF322" s="803">
        <v>5104</v>
      </c>
    </row>
    <row r="323" spans="1:32" ht="14.25">
      <c r="A323" s="154">
        <v>5106</v>
      </c>
      <c r="B323" s="992"/>
      <c r="C323" s="992" t="s">
        <v>620</v>
      </c>
      <c r="D323" s="208">
        <v>70</v>
      </c>
      <c r="E323" s="504">
        <v>12500</v>
      </c>
      <c r="F323" s="509">
        <v>43</v>
      </c>
      <c r="G323" s="1068">
        <v>62</v>
      </c>
      <c r="H323" s="511">
        <v>51</v>
      </c>
      <c r="I323" s="511">
        <v>79</v>
      </c>
      <c r="J323" s="766">
        <v>20</v>
      </c>
      <c r="K323" s="145" t="s">
        <v>347</v>
      </c>
      <c r="L323" s="492">
        <v>15</v>
      </c>
      <c r="M323" s="782">
        <v>2000</v>
      </c>
      <c r="N323" s="500">
        <v>0.25</v>
      </c>
      <c r="O323" s="788">
        <v>1.2</v>
      </c>
      <c r="P323" s="492">
        <v>17</v>
      </c>
      <c r="Q323" s="618">
        <v>0.1</v>
      </c>
      <c r="R323" s="619">
        <v>5947</v>
      </c>
      <c r="S323" s="619">
        <v>308</v>
      </c>
      <c r="T323" s="1277">
        <v>970.75</v>
      </c>
      <c r="U323" s="631">
        <v>79.6125</v>
      </c>
      <c r="V323" s="511">
        <v>7.5</v>
      </c>
      <c r="W323" s="506"/>
      <c r="X323" s="631">
        <v>2.8000000000000003</v>
      </c>
      <c r="Y323" s="848">
        <v>7.5</v>
      </c>
      <c r="Z323" s="831">
        <v>43.148875000000004</v>
      </c>
      <c r="AA323" s="861">
        <v>61.64125000000001</v>
      </c>
      <c r="AB323" s="826"/>
      <c r="AC323" s="939">
        <v>25</v>
      </c>
      <c r="AD323" s="826" t="s">
        <v>484</v>
      </c>
      <c r="AE323" s="826">
        <v>0</v>
      </c>
      <c r="AF323" s="804">
        <v>5106</v>
      </c>
    </row>
    <row r="324" spans="1:32" ht="14.25">
      <c r="A324" s="990">
        <v>5107</v>
      </c>
      <c r="B324" s="991"/>
      <c r="C324" s="991" t="s">
        <v>1343</v>
      </c>
      <c r="D324" s="1110">
        <v>30</v>
      </c>
      <c r="E324" s="1028">
        <v>96000</v>
      </c>
      <c r="F324" s="1041">
        <v>132</v>
      </c>
      <c r="G324" s="1067">
        <v>440</v>
      </c>
      <c r="H324" s="620">
        <v>360</v>
      </c>
      <c r="I324" s="620">
        <v>570</v>
      </c>
      <c r="J324" s="1043">
        <v>20</v>
      </c>
      <c r="K324" s="1032" t="s">
        <v>347</v>
      </c>
      <c r="L324" s="1251">
        <v>15</v>
      </c>
      <c r="M324" s="1252">
        <v>2000</v>
      </c>
      <c r="N324" s="1264">
        <v>0.25</v>
      </c>
      <c r="O324" s="815">
        <v>1</v>
      </c>
      <c r="P324" s="812">
        <v>62</v>
      </c>
      <c r="Q324" s="609">
        <v>0.2</v>
      </c>
      <c r="R324" s="610">
        <v>356.7</v>
      </c>
      <c r="S324" s="610">
        <v>35</v>
      </c>
      <c r="T324" s="1278">
        <v>7044</v>
      </c>
      <c r="U324" s="620">
        <v>15.995999999999999</v>
      </c>
      <c r="V324" s="620">
        <v>48</v>
      </c>
      <c r="W324" s="613"/>
      <c r="X324" s="620">
        <v>5.6000000000000005</v>
      </c>
      <c r="Y324" s="846">
        <v>48</v>
      </c>
      <c r="Z324" s="828">
        <v>132.066</v>
      </c>
      <c r="AA324" s="838">
        <v>440.22</v>
      </c>
      <c r="AB324" s="830"/>
      <c r="AC324" s="940">
        <v>192</v>
      </c>
      <c r="AD324" s="830" t="s">
        <v>484</v>
      </c>
      <c r="AE324" s="830">
        <v>0</v>
      </c>
      <c r="AF324" s="803">
        <v>5107</v>
      </c>
    </row>
    <row r="325" spans="1:32" ht="14.25">
      <c r="A325" s="154"/>
      <c r="B325" s="992"/>
      <c r="C325" s="154"/>
      <c r="E325" s="504"/>
      <c r="F325" s="493"/>
      <c r="G325" s="1033"/>
      <c r="H325" s="494"/>
      <c r="I325" s="494"/>
      <c r="L325" s="492"/>
      <c r="N325" s="500" t="s">
        <v>413</v>
      </c>
      <c r="O325" s="788" t="s">
        <v>413</v>
      </c>
      <c r="P325" s="492"/>
      <c r="Q325" s="507">
        <v>0.1</v>
      </c>
      <c r="R325" s="201">
        <v>301.94000000000005</v>
      </c>
      <c r="S325" s="201"/>
      <c r="T325" s="1277" t="s">
        <v>413</v>
      </c>
      <c r="U325" s="511">
        <v>12.325600000000001</v>
      </c>
      <c r="V325" s="494"/>
      <c r="W325" s="494"/>
      <c r="X325" s="511">
        <v>2.8000000000000003</v>
      </c>
      <c r="Y325" s="848" t="s">
        <v>413</v>
      </c>
      <c r="Z325" s="850"/>
      <c r="AA325" s="839"/>
      <c r="AB325" s="826"/>
      <c r="AC325" s="939" t="s">
        <v>413</v>
      </c>
      <c r="AD325" s="826" t="s">
        <v>413</v>
      </c>
      <c r="AE325" s="541"/>
      <c r="AF325" s="804"/>
    </row>
    <row r="326" spans="1:32" ht="14.25">
      <c r="A326" s="987">
        <v>5120</v>
      </c>
      <c r="B326" s="988"/>
      <c r="C326" s="989" t="s">
        <v>621</v>
      </c>
      <c r="D326" s="1021"/>
      <c r="E326" s="1022"/>
      <c r="F326" s="1023"/>
      <c r="G326" s="1024"/>
      <c r="H326" s="1025"/>
      <c r="I326" s="1025"/>
      <c r="J326" s="1026"/>
      <c r="K326" s="1026"/>
      <c r="L326" s="1021"/>
      <c r="M326" s="1026"/>
      <c r="N326" s="1263" t="s">
        <v>413</v>
      </c>
      <c r="O326" s="816" t="s">
        <v>413</v>
      </c>
      <c r="P326" s="809"/>
      <c r="Q326" s="495"/>
      <c r="R326" s="201" t="s">
        <v>413</v>
      </c>
      <c r="S326" s="499"/>
      <c r="T326" s="1276" t="s">
        <v>413</v>
      </c>
      <c r="U326" s="495"/>
      <c r="V326" s="1025"/>
      <c r="W326" s="1025"/>
      <c r="X326" s="495"/>
      <c r="Y326" s="874" t="s">
        <v>413</v>
      </c>
      <c r="Z326" s="820"/>
      <c r="AA326" s="821"/>
      <c r="AB326" s="822"/>
      <c r="AC326" s="938" t="s">
        <v>413</v>
      </c>
      <c r="AD326" s="822" t="s">
        <v>413</v>
      </c>
      <c r="AE326" s="822"/>
      <c r="AF326" s="801">
        <v>5120</v>
      </c>
    </row>
    <row r="327" spans="1:32" ht="14.25">
      <c r="A327" s="496"/>
      <c r="B327" s="761"/>
      <c r="C327" s="496"/>
      <c r="D327" s="510"/>
      <c r="E327" s="504"/>
      <c r="F327" s="509"/>
      <c r="G327" s="1065"/>
      <c r="H327" s="511"/>
      <c r="I327" s="511"/>
      <c r="J327" s="766"/>
      <c r="K327" s="495"/>
      <c r="L327" s="496"/>
      <c r="M327" s="766"/>
      <c r="N327" s="500" t="s">
        <v>413</v>
      </c>
      <c r="O327" s="788" t="s">
        <v>413</v>
      </c>
      <c r="P327" s="810"/>
      <c r="Q327" s="603"/>
      <c r="R327" s="605" t="s">
        <v>413</v>
      </c>
      <c r="S327" s="606"/>
      <c r="T327" s="1277" t="s">
        <v>413</v>
      </c>
      <c r="U327" s="604"/>
      <c r="V327" s="511"/>
      <c r="W327" s="506"/>
      <c r="X327" s="604"/>
      <c r="Y327" s="848" t="s">
        <v>413</v>
      </c>
      <c r="Z327" s="831"/>
      <c r="AA327" s="861"/>
      <c r="AB327" s="802"/>
      <c r="AC327" s="939" t="s">
        <v>413</v>
      </c>
      <c r="AD327" s="826" t="s">
        <v>413</v>
      </c>
      <c r="AE327" s="826"/>
      <c r="AF327" s="802"/>
    </row>
    <row r="328" spans="1:32" ht="14.25">
      <c r="A328" s="990">
        <v>5121</v>
      </c>
      <c r="B328" s="991"/>
      <c r="C328" s="991" t="s">
        <v>622</v>
      </c>
      <c r="D328" s="1040">
        <v>100</v>
      </c>
      <c r="E328" s="1028">
        <v>8900</v>
      </c>
      <c r="F328" s="1041">
        <v>52</v>
      </c>
      <c r="G328" s="1067">
        <v>52</v>
      </c>
      <c r="H328" s="1111">
        <v>46</v>
      </c>
      <c r="I328" s="620">
        <v>63</v>
      </c>
      <c r="J328" s="1043">
        <v>30</v>
      </c>
      <c r="K328" s="1032" t="s">
        <v>347</v>
      </c>
      <c r="L328" s="1251">
        <v>15</v>
      </c>
      <c r="M328" s="1043">
        <v>600</v>
      </c>
      <c r="N328" s="1264">
        <v>0.1</v>
      </c>
      <c r="O328" s="815">
        <v>1.25</v>
      </c>
      <c r="P328" s="812">
        <v>30</v>
      </c>
      <c r="Q328" s="495"/>
      <c r="R328" s="201" t="s">
        <v>413</v>
      </c>
      <c r="S328" s="499"/>
      <c r="T328" s="1278">
        <v>874.1999999999999</v>
      </c>
      <c r="U328" s="495"/>
      <c r="V328" s="620">
        <v>18.541666666666668</v>
      </c>
      <c r="W328" s="613"/>
      <c r="X328" s="495"/>
      <c r="Y328" s="846">
        <v>18.541666666666668</v>
      </c>
      <c r="Z328" s="828">
        <v>52.44983333333334</v>
      </c>
      <c r="AA328" s="838">
        <v>52.44983333333334</v>
      </c>
      <c r="AB328" s="830"/>
      <c r="AC328" s="940">
        <v>17.8</v>
      </c>
      <c r="AD328" s="830" t="s">
        <v>484</v>
      </c>
      <c r="AE328" s="830">
        <v>0</v>
      </c>
      <c r="AF328" s="803">
        <v>5121</v>
      </c>
    </row>
    <row r="329" spans="1:32" ht="14.25">
      <c r="A329" s="154">
        <v>5122</v>
      </c>
      <c r="B329" s="992"/>
      <c r="C329" s="992" t="s">
        <v>994</v>
      </c>
      <c r="D329" s="510">
        <v>100</v>
      </c>
      <c r="E329" s="504">
        <v>15700</v>
      </c>
      <c r="F329" s="509">
        <v>69</v>
      </c>
      <c r="G329" s="1068">
        <v>69</v>
      </c>
      <c r="H329" s="511">
        <v>60</v>
      </c>
      <c r="I329" s="511">
        <v>85</v>
      </c>
      <c r="J329" s="766">
        <v>30</v>
      </c>
      <c r="K329" s="145" t="s">
        <v>347</v>
      </c>
      <c r="L329" s="492">
        <v>15</v>
      </c>
      <c r="M329" s="766">
        <v>900</v>
      </c>
      <c r="N329" s="500">
        <v>0.25</v>
      </c>
      <c r="O329" s="788">
        <v>1.15</v>
      </c>
      <c r="P329" s="492">
        <v>33</v>
      </c>
      <c r="Q329" s="609">
        <v>0.02</v>
      </c>
      <c r="R329" s="610">
        <v>581.1</v>
      </c>
      <c r="S329" s="610">
        <v>224</v>
      </c>
      <c r="T329" s="1277">
        <v>1289.15</v>
      </c>
      <c r="U329" s="620">
        <v>16.414</v>
      </c>
      <c r="V329" s="511">
        <v>20.061111111111106</v>
      </c>
      <c r="W329" s="506"/>
      <c r="X329" s="620">
        <v>0.56</v>
      </c>
      <c r="Y329" s="848">
        <v>20.061111111111106</v>
      </c>
      <c r="Z329" s="831">
        <v>69.33605555555556</v>
      </c>
      <c r="AA329" s="861">
        <v>69.33605555555556</v>
      </c>
      <c r="AB329" s="826"/>
      <c r="AC329" s="939">
        <v>31.400000000000002</v>
      </c>
      <c r="AD329" s="826" t="s">
        <v>484</v>
      </c>
      <c r="AE329" s="826">
        <v>0</v>
      </c>
      <c r="AF329" s="804">
        <v>5122</v>
      </c>
    </row>
    <row r="330" spans="1:32" ht="14.25">
      <c r="A330" s="990">
        <v>5123</v>
      </c>
      <c r="B330" s="991"/>
      <c r="C330" s="991" t="s">
        <v>623</v>
      </c>
      <c r="D330" s="1040">
        <v>80</v>
      </c>
      <c r="E330" s="1028">
        <v>14000</v>
      </c>
      <c r="F330" s="1041">
        <v>96</v>
      </c>
      <c r="G330" s="1067">
        <v>121</v>
      </c>
      <c r="H330" s="620">
        <v>110</v>
      </c>
      <c r="I330" s="620">
        <v>140</v>
      </c>
      <c r="J330" s="1043">
        <v>25</v>
      </c>
      <c r="K330" s="1032" t="s">
        <v>347</v>
      </c>
      <c r="L330" s="1251">
        <v>15</v>
      </c>
      <c r="M330" s="1043">
        <v>800</v>
      </c>
      <c r="N330" s="1264">
        <v>0.25</v>
      </c>
      <c r="O330" s="815">
        <v>3.6</v>
      </c>
      <c r="P330" s="812">
        <v>32</v>
      </c>
      <c r="Q330" s="507">
        <v>0.02</v>
      </c>
      <c r="R330" s="201">
        <v>894</v>
      </c>
      <c r="S330" s="201">
        <v>280</v>
      </c>
      <c r="T330" s="1278">
        <v>1165</v>
      </c>
      <c r="U330" s="511">
        <v>15.973333333333333</v>
      </c>
      <c r="V330" s="620">
        <v>63</v>
      </c>
      <c r="W330" s="613"/>
      <c r="X330" s="511">
        <v>0.56</v>
      </c>
      <c r="Y330" s="846">
        <v>63</v>
      </c>
      <c r="Z330" s="828">
        <v>96.448</v>
      </c>
      <c r="AA330" s="838">
        <v>120.56</v>
      </c>
      <c r="AB330" s="830"/>
      <c r="AC330" s="940">
        <v>28</v>
      </c>
      <c r="AD330" s="830" t="s">
        <v>484</v>
      </c>
      <c r="AE330" s="830">
        <v>0</v>
      </c>
      <c r="AF330" s="803">
        <v>5123</v>
      </c>
    </row>
    <row r="331" spans="1:32" ht="14.25">
      <c r="A331" s="154">
        <v>5096</v>
      </c>
      <c r="B331" s="992"/>
      <c r="C331" s="992" t="s">
        <v>1511</v>
      </c>
      <c r="D331" s="510">
        <v>100</v>
      </c>
      <c r="E331" s="504">
        <v>26000</v>
      </c>
      <c r="F331" s="509">
        <v>56</v>
      </c>
      <c r="G331" s="1068">
        <v>56</v>
      </c>
      <c r="H331" s="511">
        <v>46</v>
      </c>
      <c r="I331" s="511">
        <v>72</v>
      </c>
      <c r="J331" s="766">
        <v>50</v>
      </c>
      <c r="K331" s="145" t="s">
        <v>347</v>
      </c>
      <c r="L331" s="492">
        <v>12</v>
      </c>
      <c r="M331" s="766">
        <v>1800</v>
      </c>
      <c r="N331" s="500">
        <v>0.25</v>
      </c>
      <c r="O331" s="788">
        <v>0.55</v>
      </c>
      <c r="P331" s="492">
        <v>2</v>
      </c>
      <c r="Q331" s="609">
        <v>0.02</v>
      </c>
      <c r="R331" s="610">
        <v>1303.75</v>
      </c>
      <c r="S331" s="610">
        <v>315</v>
      </c>
      <c r="T331" s="1277">
        <v>2144</v>
      </c>
      <c r="U331" s="620">
        <v>18.375</v>
      </c>
      <c r="V331" s="511">
        <v>7.9444444444444455</v>
      </c>
      <c r="W331" s="506"/>
      <c r="X331" s="620">
        <v>0.56</v>
      </c>
      <c r="Y331" s="848">
        <v>7.9444444444444455</v>
      </c>
      <c r="Z331" s="831">
        <v>55.9068888888889</v>
      </c>
      <c r="AA331" s="861">
        <v>55.90688888888889</v>
      </c>
      <c r="AB331" s="826"/>
      <c r="AC331" s="939">
        <v>52</v>
      </c>
      <c r="AD331" s="826" t="s">
        <v>484</v>
      </c>
      <c r="AE331" s="826">
        <v>0</v>
      </c>
      <c r="AF331" s="804">
        <v>5096</v>
      </c>
    </row>
    <row r="332" spans="1:32" ht="14.25">
      <c r="A332" s="496"/>
      <c r="B332" s="761"/>
      <c r="C332" s="761"/>
      <c r="D332" s="208"/>
      <c r="E332" s="203"/>
      <c r="F332" s="765"/>
      <c r="G332" s="1065"/>
      <c r="H332" s="511"/>
      <c r="I332" s="511"/>
      <c r="J332" s="766"/>
      <c r="K332" s="499"/>
      <c r="L332" s="495"/>
      <c r="M332" s="766"/>
      <c r="N332" s="500" t="s">
        <v>413</v>
      </c>
      <c r="O332" s="788" t="s">
        <v>413</v>
      </c>
      <c r="P332" s="811"/>
      <c r="Q332" s="507"/>
      <c r="R332" s="201" t="s">
        <v>413</v>
      </c>
      <c r="S332" s="201"/>
      <c r="T332" s="1279" t="s">
        <v>413</v>
      </c>
      <c r="U332" s="511"/>
      <c r="V332" s="1285"/>
      <c r="W332" s="1284"/>
      <c r="X332" s="511">
        <v>0</v>
      </c>
      <c r="Y332" s="848" t="s">
        <v>413</v>
      </c>
      <c r="Z332" s="834"/>
      <c r="AA332" s="875"/>
      <c r="AB332" s="811"/>
      <c r="AC332" s="941" t="s">
        <v>413</v>
      </c>
      <c r="AD332" s="835" t="s">
        <v>413</v>
      </c>
      <c r="AE332" s="835"/>
      <c r="AF332" s="802"/>
    </row>
    <row r="333" spans="1:32" ht="14.25">
      <c r="A333" s="987">
        <v>5130</v>
      </c>
      <c r="B333" s="988"/>
      <c r="C333" s="989" t="s">
        <v>624</v>
      </c>
      <c r="D333" s="1021"/>
      <c r="E333" s="1022"/>
      <c r="F333" s="1023"/>
      <c r="G333" s="1024"/>
      <c r="H333" s="1025"/>
      <c r="I333" s="1025"/>
      <c r="J333" s="1026"/>
      <c r="K333" s="1026"/>
      <c r="L333" s="1021"/>
      <c r="M333" s="1026"/>
      <c r="N333" s="1263" t="s">
        <v>413</v>
      </c>
      <c r="O333" s="816" t="s">
        <v>413</v>
      </c>
      <c r="P333" s="809"/>
      <c r="Q333" s="603"/>
      <c r="R333" s="605" t="s">
        <v>413</v>
      </c>
      <c r="S333" s="606"/>
      <c r="T333" s="1276" t="s">
        <v>413</v>
      </c>
      <c r="U333" s="604"/>
      <c r="V333" s="1025"/>
      <c r="W333" s="1025"/>
      <c r="X333" s="604"/>
      <c r="Y333" s="874" t="s">
        <v>413</v>
      </c>
      <c r="Z333" s="820"/>
      <c r="AA333" s="821"/>
      <c r="AB333" s="822"/>
      <c r="AC333" s="938" t="s">
        <v>413</v>
      </c>
      <c r="AD333" s="822" t="s">
        <v>413</v>
      </c>
      <c r="AE333" s="822"/>
      <c r="AF333" s="801">
        <v>5130</v>
      </c>
    </row>
    <row r="334" spans="1:32" ht="14.25">
      <c r="A334" s="496"/>
      <c r="B334" s="761"/>
      <c r="C334" s="761"/>
      <c r="D334" s="208"/>
      <c r="E334" s="203"/>
      <c r="F334" s="765"/>
      <c r="G334" s="1065"/>
      <c r="H334" s="511"/>
      <c r="I334" s="511"/>
      <c r="J334" s="766"/>
      <c r="K334" s="499"/>
      <c r="L334" s="495"/>
      <c r="M334" s="766"/>
      <c r="N334" s="500" t="s">
        <v>413</v>
      </c>
      <c r="O334" s="788" t="s">
        <v>413</v>
      </c>
      <c r="P334" s="811"/>
      <c r="Q334" s="507"/>
      <c r="R334" s="201" t="s">
        <v>413</v>
      </c>
      <c r="S334" s="201"/>
      <c r="T334" s="1279" t="s">
        <v>413</v>
      </c>
      <c r="U334" s="511"/>
      <c r="V334" s="1285"/>
      <c r="W334" s="1284"/>
      <c r="X334" s="511"/>
      <c r="Y334" s="848" t="s">
        <v>413</v>
      </c>
      <c r="Z334" s="834"/>
      <c r="AA334" s="875"/>
      <c r="AB334" s="811"/>
      <c r="AC334" s="941" t="s">
        <v>413</v>
      </c>
      <c r="AD334" s="835" t="s">
        <v>413</v>
      </c>
      <c r="AE334" s="835"/>
      <c r="AF334" s="802"/>
    </row>
    <row r="335" spans="1:32" ht="14.25">
      <c r="A335" s="154">
        <v>5131</v>
      </c>
      <c r="B335" s="992"/>
      <c r="C335" s="992" t="s">
        <v>1210</v>
      </c>
      <c r="D335" s="510">
        <v>191</v>
      </c>
      <c r="E335" s="504">
        <v>2800</v>
      </c>
      <c r="F335" s="509">
        <v>20</v>
      </c>
      <c r="G335" s="1068">
        <v>10.5</v>
      </c>
      <c r="H335" s="511">
        <v>9</v>
      </c>
      <c r="I335" s="511">
        <v>13</v>
      </c>
      <c r="J335" s="766">
        <v>60</v>
      </c>
      <c r="K335" s="145" t="s">
        <v>347</v>
      </c>
      <c r="L335" s="492">
        <v>15</v>
      </c>
      <c r="M335" s="782">
        <v>1400</v>
      </c>
      <c r="N335" s="500">
        <v>0.1</v>
      </c>
      <c r="O335" s="788">
        <v>1.25</v>
      </c>
      <c r="P335" s="492">
        <v>32</v>
      </c>
      <c r="Q335" s="609">
        <v>0.25</v>
      </c>
      <c r="R335" s="610">
        <v>519.12</v>
      </c>
      <c r="S335" s="610">
        <v>161</v>
      </c>
      <c r="T335" s="1277">
        <v>410.40000000000003</v>
      </c>
      <c r="U335" s="620">
        <v>17.318</v>
      </c>
      <c r="V335" s="511">
        <v>2.5</v>
      </c>
      <c r="W335" s="506"/>
      <c r="X335" s="620">
        <v>7</v>
      </c>
      <c r="Y335" s="848">
        <v>2.5</v>
      </c>
      <c r="Z335" s="831">
        <v>19.623340000000002</v>
      </c>
      <c r="AA335" s="861">
        <v>10.274000000000001</v>
      </c>
      <c r="AB335" s="826"/>
      <c r="AC335" s="939">
        <v>5.6000000000000005</v>
      </c>
      <c r="AD335" s="826" t="s">
        <v>484</v>
      </c>
      <c r="AE335" s="826">
        <v>0</v>
      </c>
      <c r="AF335" s="804">
        <v>5131</v>
      </c>
    </row>
    <row r="336" spans="1:32" ht="14.25">
      <c r="A336" s="990">
        <v>5132</v>
      </c>
      <c r="B336" s="991"/>
      <c r="C336" s="991" t="s">
        <v>1211</v>
      </c>
      <c r="D336" s="1040">
        <v>278</v>
      </c>
      <c r="E336" s="1028">
        <v>5000</v>
      </c>
      <c r="F336" s="1041">
        <v>31</v>
      </c>
      <c r="G336" s="1067">
        <v>11.5</v>
      </c>
      <c r="H336" s="620">
        <v>10</v>
      </c>
      <c r="I336" s="620">
        <v>14</v>
      </c>
      <c r="J336" s="1043">
        <v>80</v>
      </c>
      <c r="K336" s="1032" t="s">
        <v>347</v>
      </c>
      <c r="L336" s="1251">
        <v>15</v>
      </c>
      <c r="M336" s="1252">
        <v>2000</v>
      </c>
      <c r="N336" s="1264">
        <v>0.1</v>
      </c>
      <c r="O336" s="815">
        <v>1.05</v>
      </c>
      <c r="P336" s="812">
        <v>37</v>
      </c>
      <c r="Q336" s="507">
        <v>0.1</v>
      </c>
      <c r="R336" s="201">
        <v>947.6</v>
      </c>
      <c r="S336" s="201">
        <v>231</v>
      </c>
      <c r="T336" s="1278">
        <v>612</v>
      </c>
      <c r="U336" s="511">
        <v>30.04</v>
      </c>
      <c r="V336" s="620">
        <v>2.625</v>
      </c>
      <c r="W336" s="613"/>
      <c r="X336" s="511">
        <v>2.8000000000000003</v>
      </c>
      <c r="Y336" s="846">
        <v>2.625</v>
      </c>
      <c r="Z336" s="828">
        <v>31.42095000000001</v>
      </c>
      <c r="AA336" s="838">
        <v>11.302500000000002</v>
      </c>
      <c r="AB336" s="830"/>
      <c r="AC336" s="940">
        <v>10</v>
      </c>
      <c r="AD336" s="830" t="s">
        <v>484</v>
      </c>
      <c r="AE336" s="830">
        <v>0</v>
      </c>
      <c r="AF336" s="803">
        <v>5132</v>
      </c>
    </row>
    <row r="337" spans="1:32" ht="14.25">
      <c r="A337" s="154">
        <v>5133</v>
      </c>
      <c r="B337" s="992"/>
      <c r="C337" s="992" t="s">
        <v>1344</v>
      </c>
      <c r="D337" s="510">
        <v>142</v>
      </c>
      <c r="E337" s="504">
        <v>4000</v>
      </c>
      <c r="F337" s="509">
        <v>23</v>
      </c>
      <c r="G337" s="1068">
        <v>16</v>
      </c>
      <c r="H337" s="511">
        <v>14</v>
      </c>
      <c r="I337" s="511">
        <v>20</v>
      </c>
      <c r="J337" s="766">
        <v>40</v>
      </c>
      <c r="K337" s="145" t="s">
        <v>347</v>
      </c>
      <c r="L337" s="492">
        <v>15</v>
      </c>
      <c r="M337" s="782">
        <v>1200</v>
      </c>
      <c r="N337" s="500">
        <v>0.25</v>
      </c>
      <c r="O337" s="788">
        <v>1.2</v>
      </c>
      <c r="P337" s="492">
        <v>26</v>
      </c>
      <c r="Q337" s="609">
        <v>0.1</v>
      </c>
      <c r="R337" s="610">
        <v>2727.2</v>
      </c>
      <c r="S337" s="610">
        <v>203</v>
      </c>
      <c r="T337" s="1277">
        <v>434</v>
      </c>
      <c r="U337" s="620">
        <v>37.3275</v>
      </c>
      <c r="V337" s="511">
        <v>4</v>
      </c>
      <c r="W337" s="506"/>
      <c r="X337" s="620">
        <v>2.8000000000000003</v>
      </c>
      <c r="Y337" s="848">
        <v>4</v>
      </c>
      <c r="Z337" s="831">
        <v>23.195700000000002</v>
      </c>
      <c r="AA337" s="861">
        <v>16.335</v>
      </c>
      <c r="AB337" s="826"/>
      <c r="AC337" s="939">
        <v>8</v>
      </c>
      <c r="AD337" s="826" t="s">
        <v>484</v>
      </c>
      <c r="AE337" s="826">
        <v>0</v>
      </c>
      <c r="AF337" s="804">
        <v>5133</v>
      </c>
    </row>
    <row r="338" spans="1:32" ht="14.25">
      <c r="A338" s="990">
        <v>5134</v>
      </c>
      <c r="B338" s="991"/>
      <c r="C338" s="991" t="s">
        <v>1345</v>
      </c>
      <c r="D338" s="1040">
        <v>280</v>
      </c>
      <c r="E338" s="1028">
        <v>10700</v>
      </c>
      <c r="F338" s="1041">
        <v>51</v>
      </c>
      <c r="G338" s="1067">
        <v>18</v>
      </c>
      <c r="H338" s="620">
        <v>16</v>
      </c>
      <c r="I338" s="620">
        <v>23</v>
      </c>
      <c r="J338" s="1043">
        <v>80</v>
      </c>
      <c r="K338" s="1032" t="s">
        <v>347</v>
      </c>
      <c r="L338" s="1251">
        <v>15</v>
      </c>
      <c r="M338" s="1252">
        <v>2400</v>
      </c>
      <c r="N338" s="1264">
        <v>0.25</v>
      </c>
      <c r="O338" s="815">
        <v>0.95</v>
      </c>
      <c r="P338" s="812">
        <v>42</v>
      </c>
      <c r="Q338" s="507"/>
      <c r="R338" s="201" t="s">
        <v>413</v>
      </c>
      <c r="S338" s="201"/>
      <c r="T338" s="1278">
        <v>995.65</v>
      </c>
      <c r="U338" s="511"/>
      <c r="V338" s="620">
        <v>4.235416666666667</v>
      </c>
      <c r="W338" s="613"/>
      <c r="X338" s="511"/>
      <c r="Y338" s="846">
        <v>4.235416666666667</v>
      </c>
      <c r="Z338" s="828">
        <v>51.377608333333335</v>
      </c>
      <c r="AA338" s="838">
        <v>18.349145833333335</v>
      </c>
      <c r="AB338" s="830"/>
      <c r="AC338" s="940">
        <v>21.400000000000002</v>
      </c>
      <c r="AD338" s="830" t="s">
        <v>484</v>
      </c>
      <c r="AE338" s="878">
        <v>0</v>
      </c>
      <c r="AF338" s="803">
        <v>5134</v>
      </c>
    </row>
    <row r="339" spans="1:32" ht="14.25">
      <c r="A339" s="154">
        <v>5135</v>
      </c>
      <c r="B339" s="992"/>
      <c r="C339" s="992" t="s">
        <v>1512</v>
      </c>
      <c r="D339" s="510">
        <v>130</v>
      </c>
      <c r="E339" s="504">
        <v>12500</v>
      </c>
      <c r="F339" s="509">
        <v>35</v>
      </c>
      <c r="G339" s="1068">
        <v>27</v>
      </c>
      <c r="H339" s="511">
        <v>23</v>
      </c>
      <c r="I339" s="511">
        <v>33</v>
      </c>
      <c r="J339" s="766">
        <v>60</v>
      </c>
      <c r="K339" s="145" t="s">
        <v>347</v>
      </c>
      <c r="L339" s="492">
        <v>15</v>
      </c>
      <c r="M339" s="782">
        <v>2000</v>
      </c>
      <c r="N339" s="500">
        <v>0.25</v>
      </c>
      <c r="O339" s="788">
        <v>1.2</v>
      </c>
      <c r="P339" s="492">
        <v>26</v>
      </c>
      <c r="Q339" s="603"/>
      <c r="R339" s="605" t="s">
        <v>413</v>
      </c>
      <c r="S339" s="606"/>
      <c r="T339" s="1277">
        <v>1024.75</v>
      </c>
      <c r="U339" s="604"/>
      <c r="V339" s="511">
        <v>7.5</v>
      </c>
      <c r="W339" s="506"/>
      <c r="X339" s="604"/>
      <c r="Y339" s="848">
        <v>7.5</v>
      </c>
      <c r="Z339" s="831">
        <v>35.148208333333336</v>
      </c>
      <c r="AA339" s="861">
        <v>27.037083333333335</v>
      </c>
      <c r="AB339" s="826"/>
      <c r="AC339" s="939">
        <v>25</v>
      </c>
      <c r="AD339" s="826" t="s">
        <v>484</v>
      </c>
      <c r="AE339" s="826">
        <v>0</v>
      </c>
      <c r="AF339" s="804">
        <v>5135</v>
      </c>
    </row>
    <row r="340" spans="1:32" ht="14.25">
      <c r="A340" s="990">
        <v>5136</v>
      </c>
      <c r="B340" s="991"/>
      <c r="C340" s="991" t="s">
        <v>1513</v>
      </c>
      <c r="D340" s="1040">
        <v>260</v>
      </c>
      <c r="E340" s="1028">
        <v>20000</v>
      </c>
      <c r="F340" s="1041">
        <v>71</v>
      </c>
      <c r="G340" s="1067">
        <v>27</v>
      </c>
      <c r="H340" s="620">
        <v>23</v>
      </c>
      <c r="I340" s="620">
        <v>34</v>
      </c>
      <c r="J340" s="1043">
        <v>90</v>
      </c>
      <c r="K340" s="1032" t="s">
        <v>347</v>
      </c>
      <c r="L340" s="1251">
        <v>15</v>
      </c>
      <c r="M340" s="1252">
        <v>3000</v>
      </c>
      <c r="N340" s="1264">
        <v>0.25</v>
      </c>
      <c r="O340" s="815">
        <v>1</v>
      </c>
      <c r="P340" s="812">
        <v>42</v>
      </c>
      <c r="Q340" s="507"/>
      <c r="R340" s="201" t="s">
        <v>413</v>
      </c>
      <c r="S340" s="201"/>
      <c r="T340" s="1278">
        <v>1642</v>
      </c>
      <c r="U340" s="511"/>
      <c r="V340" s="620">
        <v>6.666666666666667</v>
      </c>
      <c r="W340" s="613"/>
      <c r="X340" s="511"/>
      <c r="Y340" s="846">
        <v>6.666666666666667</v>
      </c>
      <c r="Z340" s="828">
        <v>71.24577777777779</v>
      </c>
      <c r="AA340" s="838">
        <v>27.402222222222225</v>
      </c>
      <c r="AB340" s="830"/>
      <c r="AC340" s="940">
        <v>40</v>
      </c>
      <c r="AD340" s="830" t="s">
        <v>484</v>
      </c>
      <c r="AE340" s="878">
        <v>0</v>
      </c>
      <c r="AF340" s="803">
        <v>5136</v>
      </c>
    </row>
    <row r="341" spans="1:32" ht="14.25">
      <c r="A341" s="154">
        <v>5137</v>
      </c>
      <c r="B341" s="992"/>
      <c r="C341" s="992" t="s">
        <v>1510</v>
      </c>
      <c r="D341" s="510">
        <v>110</v>
      </c>
      <c r="E341" s="504">
        <v>11200</v>
      </c>
      <c r="F341" s="509">
        <v>28</v>
      </c>
      <c r="G341" s="1068">
        <v>25</v>
      </c>
      <c r="H341" s="511">
        <v>22</v>
      </c>
      <c r="I341" s="511">
        <v>31</v>
      </c>
      <c r="J341" s="766">
        <v>60</v>
      </c>
      <c r="K341" s="145" t="s">
        <v>347</v>
      </c>
      <c r="L341" s="492">
        <v>15</v>
      </c>
      <c r="M341" s="782">
        <v>2000</v>
      </c>
      <c r="N341" s="500">
        <v>0.25</v>
      </c>
      <c r="O341" s="788">
        <v>1.3</v>
      </c>
      <c r="P341" s="492">
        <v>26</v>
      </c>
      <c r="Q341" s="609">
        <v>0.25</v>
      </c>
      <c r="R341" s="610">
        <v>725.1199999999999</v>
      </c>
      <c r="S341" s="610">
        <v>196</v>
      </c>
      <c r="T341" s="1277">
        <v>934.4</v>
      </c>
      <c r="U341" s="620">
        <v>26.820571428571427</v>
      </c>
      <c r="V341" s="511">
        <v>7.279999999999999</v>
      </c>
      <c r="W341" s="506"/>
      <c r="X341" s="620">
        <v>7</v>
      </c>
      <c r="Y341" s="848">
        <v>7.279999999999999</v>
      </c>
      <c r="Z341" s="831">
        <v>27.65253333333333</v>
      </c>
      <c r="AA341" s="861">
        <v>25.138666666666666</v>
      </c>
      <c r="AB341" s="826"/>
      <c r="AC341" s="939">
        <v>22.400000000000002</v>
      </c>
      <c r="AD341" s="826" t="s">
        <v>484</v>
      </c>
      <c r="AE341" s="826">
        <v>0</v>
      </c>
      <c r="AF341" s="804">
        <v>5137</v>
      </c>
    </row>
    <row r="342" spans="1:32" ht="14.25">
      <c r="A342" s="990">
        <v>5138</v>
      </c>
      <c r="B342" s="991" t="s">
        <v>1501</v>
      </c>
      <c r="C342" s="991" t="s">
        <v>1212</v>
      </c>
      <c r="D342" s="1027">
        <v>2</v>
      </c>
      <c r="E342" s="1028">
        <v>2200</v>
      </c>
      <c r="F342" s="1035">
        <v>14.5</v>
      </c>
      <c r="G342" s="1030"/>
      <c r="H342" s="613">
        <v>13.5</v>
      </c>
      <c r="I342" s="613">
        <v>16</v>
      </c>
      <c r="J342" s="1031">
        <v>80</v>
      </c>
      <c r="K342" s="1032">
        <v>60</v>
      </c>
      <c r="L342" s="1251">
        <v>10</v>
      </c>
      <c r="M342" s="1232">
        <v>4000</v>
      </c>
      <c r="N342" s="1264">
        <v>0.25</v>
      </c>
      <c r="O342" s="815">
        <v>1.85</v>
      </c>
      <c r="P342" s="812">
        <v>7</v>
      </c>
      <c r="Q342" s="507">
        <v>0.1</v>
      </c>
      <c r="R342" s="201">
        <v>1005.75</v>
      </c>
      <c r="S342" s="201">
        <v>182</v>
      </c>
      <c r="T342" s="1278">
        <v>298.9</v>
      </c>
      <c r="U342" s="511">
        <v>60.7375</v>
      </c>
      <c r="V342" s="613">
        <v>1.0175</v>
      </c>
      <c r="W342" s="613">
        <v>8.33</v>
      </c>
      <c r="X342" s="511">
        <v>2.8000000000000003</v>
      </c>
      <c r="Y342" s="827">
        <v>9.3475</v>
      </c>
      <c r="Z342" s="828">
        <v>14.392125000000002</v>
      </c>
      <c r="AA342" s="829"/>
      <c r="AB342" s="830"/>
      <c r="AC342" s="940">
        <v>4.4</v>
      </c>
      <c r="AD342" s="830" t="s">
        <v>483</v>
      </c>
      <c r="AE342" s="830">
        <v>2</v>
      </c>
      <c r="AF342" s="803">
        <v>5138</v>
      </c>
    </row>
    <row r="343" spans="1:32" ht="14.25">
      <c r="A343" s="496"/>
      <c r="B343" s="761"/>
      <c r="C343" s="761"/>
      <c r="D343" s="202"/>
      <c r="E343" s="203"/>
      <c r="F343" s="1112"/>
      <c r="G343" s="495"/>
      <c r="H343" s="506"/>
      <c r="I343" s="506"/>
      <c r="J343" s="764"/>
      <c r="K343" s="499"/>
      <c r="L343" s="495"/>
      <c r="M343" s="780"/>
      <c r="N343" s="500" t="s">
        <v>413</v>
      </c>
      <c r="O343" s="788" t="s">
        <v>413</v>
      </c>
      <c r="P343" s="811"/>
      <c r="Q343" s="609">
        <v>0.1</v>
      </c>
      <c r="R343" s="610">
        <v>1862.5</v>
      </c>
      <c r="S343" s="610">
        <v>182</v>
      </c>
      <c r="T343" s="1279" t="s">
        <v>413</v>
      </c>
      <c r="U343" s="620">
        <v>104.725</v>
      </c>
      <c r="V343" s="1284"/>
      <c r="W343" s="1284"/>
      <c r="X343" s="620">
        <v>2.8000000000000003</v>
      </c>
      <c r="Y343" s="823" t="s">
        <v>413</v>
      </c>
      <c r="Z343" s="834"/>
      <c r="AA343" s="832"/>
      <c r="AB343" s="811"/>
      <c r="AC343" s="941" t="s">
        <v>413</v>
      </c>
      <c r="AD343" s="835" t="s">
        <v>413</v>
      </c>
      <c r="AE343" s="835"/>
      <c r="AF343" s="802"/>
    </row>
    <row r="344" spans="1:32" ht="14.25">
      <c r="A344" s="987">
        <v>5140</v>
      </c>
      <c r="B344" s="988" t="s">
        <v>1501</v>
      </c>
      <c r="C344" s="989" t="s">
        <v>626</v>
      </c>
      <c r="D344" s="1021"/>
      <c r="E344" s="1022"/>
      <c r="F344" s="1023"/>
      <c r="G344" s="1024"/>
      <c r="H344" s="1025"/>
      <c r="I344" s="1025"/>
      <c r="J344" s="1026"/>
      <c r="K344" s="1026"/>
      <c r="L344" s="1021"/>
      <c r="M344" s="1026"/>
      <c r="N344" s="1263" t="s">
        <v>413</v>
      </c>
      <c r="O344" s="816" t="s">
        <v>413</v>
      </c>
      <c r="P344" s="809"/>
      <c r="Q344" s="507">
        <v>0.05</v>
      </c>
      <c r="R344" s="201">
        <v>819.5</v>
      </c>
      <c r="S344" s="201">
        <v>119</v>
      </c>
      <c r="T344" s="1276" t="s">
        <v>413</v>
      </c>
      <c r="U344" s="511">
        <v>48.025</v>
      </c>
      <c r="V344" s="1025"/>
      <c r="W344" s="1025"/>
      <c r="X344" s="511">
        <v>1.4000000000000001</v>
      </c>
      <c r="Y344" s="833" t="s">
        <v>413</v>
      </c>
      <c r="Z344" s="820"/>
      <c r="AA344" s="821"/>
      <c r="AB344" s="822"/>
      <c r="AC344" s="938" t="s">
        <v>413</v>
      </c>
      <c r="AD344" s="822" t="s">
        <v>413</v>
      </c>
      <c r="AE344" s="822"/>
      <c r="AF344" s="801">
        <v>5140</v>
      </c>
    </row>
    <row r="345" spans="1:32" ht="14.25">
      <c r="A345" s="496"/>
      <c r="B345" s="761"/>
      <c r="C345" s="496"/>
      <c r="D345" s="503"/>
      <c r="E345" s="504"/>
      <c r="F345" s="1113"/>
      <c r="G345" s="496"/>
      <c r="H345" s="506"/>
      <c r="I345" s="506"/>
      <c r="J345" s="764"/>
      <c r="K345" s="495"/>
      <c r="L345" s="496"/>
      <c r="M345" s="780"/>
      <c r="N345" s="500" t="s">
        <v>413</v>
      </c>
      <c r="O345" s="818" t="s">
        <v>413</v>
      </c>
      <c r="P345" s="810"/>
      <c r="Q345" s="609">
        <v>0.05</v>
      </c>
      <c r="R345" s="610">
        <v>6779.5</v>
      </c>
      <c r="S345" s="610">
        <v>434</v>
      </c>
      <c r="T345" s="1277" t="s">
        <v>413</v>
      </c>
      <c r="U345" s="620">
        <v>369.775</v>
      </c>
      <c r="V345" s="506"/>
      <c r="W345" s="506"/>
      <c r="X345" s="620">
        <v>1.4000000000000001</v>
      </c>
      <c r="Y345" s="823" t="s">
        <v>413</v>
      </c>
      <c r="Z345" s="831"/>
      <c r="AA345" s="839"/>
      <c r="AB345" s="802"/>
      <c r="AC345" s="939" t="s">
        <v>413</v>
      </c>
      <c r="AD345" s="826" t="s">
        <v>413</v>
      </c>
      <c r="AE345" s="826"/>
      <c r="AF345" s="802"/>
    </row>
    <row r="346" spans="1:32" ht="14.25">
      <c r="A346" s="1008">
        <v>5141</v>
      </c>
      <c r="B346" s="991"/>
      <c r="C346" s="993" t="s">
        <v>627</v>
      </c>
      <c r="D346" s="1040">
        <v>52</v>
      </c>
      <c r="E346" s="1028">
        <v>7300</v>
      </c>
      <c r="F346" s="1041">
        <v>14</v>
      </c>
      <c r="G346" s="1067">
        <v>27</v>
      </c>
      <c r="H346" s="620">
        <v>24</v>
      </c>
      <c r="I346" s="620">
        <v>32</v>
      </c>
      <c r="J346" s="1043">
        <v>50</v>
      </c>
      <c r="K346" s="1032" t="s">
        <v>347</v>
      </c>
      <c r="L346" s="1251">
        <v>12</v>
      </c>
      <c r="M346" s="1252">
        <v>1600</v>
      </c>
      <c r="N346" s="1264">
        <v>0.25</v>
      </c>
      <c r="O346" s="815">
        <v>2.5</v>
      </c>
      <c r="P346" s="812">
        <v>13</v>
      </c>
      <c r="Q346" s="492"/>
      <c r="R346" s="201" t="s">
        <v>413</v>
      </c>
      <c r="T346" s="1278">
        <v>676.6</v>
      </c>
      <c r="U346" s="494"/>
      <c r="V346" s="620">
        <v>11.40625</v>
      </c>
      <c r="W346" s="613"/>
      <c r="X346" s="494"/>
      <c r="Y346" s="846">
        <v>11.40625</v>
      </c>
      <c r="Z346" s="828">
        <v>14.264679000000001</v>
      </c>
      <c r="AA346" s="838">
        <v>27.432075</v>
      </c>
      <c r="AB346" s="830"/>
      <c r="AC346" s="940">
        <v>14.6</v>
      </c>
      <c r="AD346" s="830" t="s">
        <v>484</v>
      </c>
      <c r="AE346" s="830">
        <v>0</v>
      </c>
      <c r="AF346" s="807">
        <v>5141</v>
      </c>
    </row>
    <row r="347" spans="1:32" ht="14.25">
      <c r="A347" s="531">
        <v>5142</v>
      </c>
      <c r="B347" s="992" t="s">
        <v>1501</v>
      </c>
      <c r="C347" s="763" t="s">
        <v>628</v>
      </c>
      <c r="D347" s="510">
        <v>87</v>
      </c>
      <c r="E347" s="504">
        <v>11500</v>
      </c>
      <c r="F347" s="509">
        <v>32</v>
      </c>
      <c r="G347" s="1068">
        <v>36</v>
      </c>
      <c r="H347" s="511">
        <v>32</v>
      </c>
      <c r="I347" s="511">
        <v>43</v>
      </c>
      <c r="J347" s="766">
        <v>60</v>
      </c>
      <c r="K347" s="145" t="s">
        <v>347</v>
      </c>
      <c r="L347" s="492">
        <v>12</v>
      </c>
      <c r="M347" s="782">
        <v>1800</v>
      </c>
      <c r="N347" s="500">
        <v>0.25</v>
      </c>
      <c r="O347" s="788">
        <v>2.4</v>
      </c>
      <c r="P347" s="492">
        <v>19</v>
      </c>
      <c r="Q347" s="603"/>
      <c r="R347" s="605" t="s">
        <v>413</v>
      </c>
      <c r="S347" s="606"/>
      <c r="T347" s="1277">
        <v>1057</v>
      </c>
      <c r="U347" s="604"/>
      <c r="V347" s="511">
        <v>15.333333333333334</v>
      </c>
      <c r="W347" s="506"/>
      <c r="X347" s="604"/>
      <c r="Y347" s="848">
        <v>15.333333333333334</v>
      </c>
      <c r="Z347" s="831">
        <v>31.533150000000006</v>
      </c>
      <c r="AA347" s="861">
        <v>36.245000000000005</v>
      </c>
      <c r="AB347" s="826"/>
      <c r="AC347" s="939">
        <v>23</v>
      </c>
      <c r="AD347" s="826" t="s">
        <v>484</v>
      </c>
      <c r="AE347" s="826">
        <v>0</v>
      </c>
      <c r="AF347" s="531">
        <v>5142</v>
      </c>
    </row>
    <row r="348" spans="1:32" ht="14.25">
      <c r="A348" s="1008">
        <v>5143</v>
      </c>
      <c r="B348" s="991" t="s">
        <v>1501</v>
      </c>
      <c r="C348" s="993" t="s">
        <v>629</v>
      </c>
      <c r="D348" s="1040">
        <v>102</v>
      </c>
      <c r="E348" s="1028">
        <v>13500</v>
      </c>
      <c r="F348" s="1041">
        <v>37</v>
      </c>
      <c r="G348" s="1067">
        <v>36</v>
      </c>
      <c r="H348" s="620">
        <v>32</v>
      </c>
      <c r="I348" s="620">
        <v>43</v>
      </c>
      <c r="J348" s="1043">
        <v>70</v>
      </c>
      <c r="K348" s="1032" t="s">
        <v>347</v>
      </c>
      <c r="L348" s="1251">
        <v>12</v>
      </c>
      <c r="M348" s="1252">
        <v>2200</v>
      </c>
      <c r="N348" s="1264">
        <v>0.25</v>
      </c>
      <c r="O348" s="815">
        <v>2.4</v>
      </c>
      <c r="P348" s="812">
        <v>26</v>
      </c>
      <c r="Q348" s="507"/>
      <c r="R348" s="201" t="s">
        <v>413</v>
      </c>
      <c r="S348" s="201"/>
      <c r="T348" s="1278">
        <v>1263</v>
      </c>
      <c r="U348" s="511"/>
      <c r="V348" s="620">
        <v>14.727272727272727</v>
      </c>
      <c r="W348" s="613"/>
      <c r="X348" s="511"/>
      <c r="Y348" s="846">
        <v>14.727272727272727</v>
      </c>
      <c r="Z348" s="828">
        <v>36.76808571428572</v>
      </c>
      <c r="AA348" s="838">
        <v>36.04714285714286</v>
      </c>
      <c r="AB348" s="830"/>
      <c r="AC348" s="940">
        <v>27</v>
      </c>
      <c r="AD348" s="830" t="s">
        <v>484</v>
      </c>
      <c r="AE348" s="830">
        <v>0</v>
      </c>
      <c r="AF348" s="807">
        <v>5143</v>
      </c>
    </row>
    <row r="349" spans="1:32" ht="14.25">
      <c r="A349" s="531">
        <v>5144</v>
      </c>
      <c r="B349" s="992" t="s">
        <v>1501</v>
      </c>
      <c r="C349" s="763" t="s">
        <v>1213</v>
      </c>
      <c r="D349" s="510">
        <v>115</v>
      </c>
      <c r="E349" s="504">
        <v>18000</v>
      </c>
      <c r="F349" s="509">
        <v>46</v>
      </c>
      <c r="G349" s="1068">
        <v>40</v>
      </c>
      <c r="H349" s="511">
        <v>35</v>
      </c>
      <c r="I349" s="511">
        <v>48</v>
      </c>
      <c r="J349" s="766">
        <v>80</v>
      </c>
      <c r="K349" s="145" t="s">
        <v>347</v>
      </c>
      <c r="L349" s="492">
        <v>12</v>
      </c>
      <c r="M349" s="782">
        <v>2800</v>
      </c>
      <c r="N349" s="500">
        <v>0.25</v>
      </c>
      <c r="O349" s="788">
        <v>2.4</v>
      </c>
      <c r="P349" s="492">
        <v>32</v>
      </c>
      <c r="Q349" s="609">
        <v>0.25</v>
      </c>
      <c r="R349" s="610">
        <v>675.6800000000001</v>
      </c>
      <c r="S349" s="610">
        <v>210</v>
      </c>
      <c r="T349" s="1277">
        <v>1668</v>
      </c>
      <c r="U349" s="620">
        <v>30.069333333333336</v>
      </c>
      <c r="V349" s="511">
        <v>15.428571428571429</v>
      </c>
      <c r="W349" s="506"/>
      <c r="X349" s="620">
        <v>7</v>
      </c>
      <c r="Y349" s="848">
        <v>15.428571428571429</v>
      </c>
      <c r="Z349" s="831">
        <v>45.892392857142866</v>
      </c>
      <c r="AA349" s="861">
        <v>39.90642857142858</v>
      </c>
      <c r="AB349" s="826"/>
      <c r="AC349" s="939">
        <v>36</v>
      </c>
      <c r="AD349" s="826" t="s">
        <v>484</v>
      </c>
      <c r="AE349" s="826">
        <v>0</v>
      </c>
      <c r="AF349" s="531">
        <v>5144</v>
      </c>
    </row>
    <row r="350" spans="1:32" ht="14.25">
      <c r="A350" s="1008">
        <v>5145</v>
      </c>
      <c r="B350" s="991"/>
      <c r="C350" s="993" t="s">
        <v>630</v>
      </c>
      <c r="D350" s="1086"/>
      <c r="E350" s="1028">
        <v>11000</v>
      </c>
      <c r="F350" s="1035">
        <v>21</v>
      </c>
      <c r="G350" s="1114"/>
      <c r="H350" s="613">
        <v>19</v>
      </c>
      <c r="I350" s="613">
        <v>25</v>
      </c>
      <c r="J350" s="1031">
        <v>100</v>
      </c>
      <c r="K350" s="1032" t="s">
        <v>347</v>
      </c>
      <c r="L350" s="1251">
        <v>12</v>
      </c>
      <c r="M350" s="1232">
        <v>3000</v>
      </c>
      <c r="N350" s="1264">
        <v>0.25</v>
      </c>
      <c r="O350" s="815">
        <v>2.55</v>
      </c>
      <c r="P350" s="812">
        <v>15</v>
      </c>
      <c r="Q350" s="507">
        <v>0.1</v>
      </c>
      <c r="R350" s="201">
        <v>871.65</v>
      </c>
      <c r="S350" s="201">
        <v>231</v>
      </c>
      <c r="T350" s="1278">
        <v>992</v>
      </c>
      <c r="U350" s="511">
        <v>37.535000000000004</v>
      </c>
      <c r="V350" s="613">
        <v>9.35</v>
      </c>
      <c r="W350" s="613"/>
      <c r="X350" s="511">
        <v>2.8000000000000003</v>
      </c>
      <c r="Y350" s="827">
        <v>9.35</v>
      </c>
      <c r="Z350" s="828">
        <v>21.197000000000003</v>
      </c>
      <c r="AA350" s="869"/>
      <c r="AB350" s="830"/>
      <c r="AC350" s="940">
        <v>22</v>
      </c>
      <c r="AD350" s="830" t="s">
        <v>483</v>
      </c>
      <c r="AE350" s="830">
        <v>0</v>
      </c>
      <c r="AF350" s="807">
        <v>5145</v>
      </c>
    </row>
    <row r="351" spans="1:32" ht="14.25">
      <c r="A351" s="531">
        <v>5146</v>
      </c>
      <c r="B351" s="992"/>
      <c r="C351" s="763" t="s">
        <v>631</v>
      </c>
      <c r="D351" s="517"/>
      <c r="E351" s="504">
        <v>12500</v>
      </c>
      <c r="F351" s="612">
        <v>24</v>
      </c>
      <c r="G351" s="1094"/>
      <c r="H351" s="506">
        <v>21.5</v>
      </c>
      <c r="I351" s="506">
        <v>28.5</v>
      </c>
      <c r="J351" s="764">
        <v>100</v>
      </c>
      <c r="K351" s="145" t="s">
        <v>347</v>
      </c>
      <c r="L351" s="492">
        <v>12</v>
      </c>
      <c r="M351" s="780">
        <v>3000</v>
      </c>
      <c r="N351" s="500">
        <v>0.25</v>
      </c>
      <c r="O351" s="788">
        <v>2.5</v>
      </c>
      <c r="P351" s="492">
        <v>21</v>
      </c>
      <c r="Q351" s="609">
        <v>0.067</v>
      </c>
      <c r="R351" s="610">
        <v>894</v>
      </c>
      <c r="S351" s="610">
        <v>224</v>
      </c>
      <c r="T351" s="1277">
        <v>1151</v>
      </c>
      <c r="U351" s="620">
        <v>45.68</v>
      </c>
      <c r="V351" s="506">
        <v>10.416666666666668</v>
      </c>
      <c r="W351" s="506"/>
      <c r="X351" s="620">
        <v>1.8760000000000001</v>
      </c>
      <c r="Y351" s="823">
        <v>10.416666666666668</v>
      </c>
      <c r="Z351" s="831">
        <v>24.119333333333337</v>
      </c>
      <c r="AA351" s="866"/>
      <c r="AB351" s="826"/>
      <c r="AC351" s="939">
        <v>25</v>
      </c>
      <c r="AD351" s="826" t="s">
        <v>483</v>
      </c>
      <c r="AE351" s="826">
        <v>0</v>
      </c>
      <c r="AF351" s="531">
        <v>5146</v>
      </c>
    </row>
    <row r="352" spans="1:32" ht="14.25">
      <c r="A352" s="1008">
        <v>5147</v>
      </c>
      <c r="B352" s="991"/>
      <c r="C352" s="991" t="s">
        <v>1346</v>
      </c>
      <c r="D352" s="1086"/>
      <c r="E352" s="1028">
        <v>20000</v>
      </c>
      <c r="F352" s="1049">
        <v>31</v>
      </c>
      <c r="G352" s="1114"/>
      <c r="H352" s="613">
        <v>30</v>
      </c>
      <c r="I352" s="613">
        <v>40</v>
      </c>
      <c r="J352" s="1031">
        <v>120</v>
      </c>
      <c r="K352" s="1032" t="s">
        <v>347</v>
      </c>
      <c r="L352" s="1251">
        <v>10</v>
      </c>
      <c r="M352" s="1232">
        <v>3000</v>
      </c>
      <c r="N352" s="1264">
        <v>0.25</v>
      </c>
      <c r="O352" s="815">
        <v>1.6</v>
      </c>
      <c r="P352" s="812">
        <v>29</v>
      </c>
      <c r="Q352" s="507">
        <v>0.25</v>
      </c>
      <c r="R352" s="201">
        <v>906.4</v>
      </c>
      <c r="S352" s="201">
        <v>168</v>
      </c>
      <c r="T352" s="1278">
        <v>2064</v>
      </c>
      <c r="U352" s="511">
        <v>43.856</v>
      </c>
      <c r="V352" s="613">
        <v>10.666666666666668</v>
      </c>
      <c r="W352" s="613"/>
      <c r="X352" s="511">
        <v>7</v>
      </c>
      <c r="Y352" s="827">
        <v>10.666666666666668</v>
      </c>
      <c r="Z352" s="828">
        <v>30.653333333333336</v>
      </c>
      <c r="AA352" s="869"/>
      <c r="AB352" s="830"/>
      <c r="AC352" s="940">
        <v>40</v>
      </c>
      <c r="AD352" s="830" t="s">
        <v>483</v>
      </c>
      <c r="AE352" s="830">
        <v>0</v>
      </c>
      <c r="AF352" s="807">
        <v>5147</v>
      </c>
    </row>
    <row r="353" spans="1:32" ht="14.25">
      <c r="A353" s="531">
        <v>5148</v>
      </c>
      <c r="B353" s="992"/>
      <c r="C353" s="992" t="s">
        <v>1347</v>
      </c>
      <c r="D353" s="517"/>
      <c r="E353" s="504">
        <v>34000</v>
      </c>
      <c r="F353" s="621">
        <v>25</v>
      </c>
      <c r="G353" s="1094"/>
      <c r="H353" s="506">
        <v>20</v>
      </c>
      <c r="I353" s="506">
        <v>30</v>
      </c>
      <c r="J353" s="764">
        <v>240</v>
      </c>
      <c r="K353" s="145" t="s">
        <v>347</v>
      </c>
      <c r="L353" s="492">
        <v>10</v>
      </c>
      <c r="M353" s="780">
        <v>4000</v>
      </c>
      <c r="N353" s="500">
        <v>0.1</v>
      </c>
      <c r="O353" s="788">
        <v>0.75</v>
      </c>
      <c r="P353" s="492">
        <v>33</v>
      </c>
      <c r="Q353" s="507"/>
      <c r="R353" s="201" t="s">
        <v>413</v>
      </c>
      <c r="S353" s="201"/>
      <c r="T353" s="1277">
        <v>3870</v>
      </c>
      <c r="U353" s="511"/>
      <c r="V353" s="506">
        <v>6.375</v>
      </c>
      <c r="W353" s="506"/>
      <c r="X353" s="511"/>
      <c r="Y353" s="823">
        <v>6.375</v>
      </c>
      <c r="Z353" s="831">
        <v>24.750000000000004</v>
      </c>
      <c r="AA353" s="866"/>
      <c r="AB353" s="826"/>
      <c r="AC353" s="939">
        <v>68</v>
      </c>
      <c r="AD353" s="826" t="s">
        <v>483</v>
      </c>
      <c r="AE353" s="826">
        <v>0</v>
      </c>
      <c r="AF353" s="531">
        <v>5148</v>
      </c>
    </row>
    <row r="354" spans="1:32" ht="14.25">
      <c r="A354" s="154"/>
      <c r="B354" s="992"/>
      <c r="C354" s="992"/>
      <c r="D354" s="503"/>
      <c r="E354" s="504"/>
      <c r="F354" s="1113"/>
      <c r="G354" s="1033"/>
      <c r="H354" s="506"/>
      <c r="I354" s="506"/>
      <c r="J354" s="764"/>
      <c r="L354" s="492"/>
      <c r="M354" s="780"/>
      <c r="N354" s="500" t="s">
        <v>413</v>
      </c>
      <c r="O354" s="788" t="s">
        <v>413</v>
      </c>
      <c r="P354" s="492"/>
      <c r="Q354" s="603"/>
      <c r="R354" s="605" t="s">
        <v>413</v>
      </c>
      <c r="S354" s="606"/>
      <c r="T354" s="1277" t="s">
        <v>413</v>
      </c>
      <c r="U354" s="604"/>
      <c r="V354" s="506"/>
      <c r="W354" s="506"/>
      <c r="X354" s="604"/>
      <c r="Y354" s="823" t="s">
        <v>413</v>
      </c>
      <c r="Z354" s="831"/>
      <c r="AA354" s="839"/>
      <c r="AB354" s="826"/>
      <c r="AC354" s="939" t="s">
        <v>413</v>
      </c>
      <c r="AD354" s="826" t="s">
        <v>413</v>
      </c>
      <c r="AE354" s="826"/>
      <c r="AF354" s="804"/>
    </row>
    <row r="355" spans="1:32" ht="14.25">
      <c r="A355" s="987">
        <v>5150</v>
      </c>
      <c r="B355" s="988" t="s">
        <v>1501</v>
      </c>
      <c r="C355" s="989" t="s">
        <v>632</v>
      </c>
      <c r="D355" s="1021"/>
      <c r="E355" s="1022"/>
      <c r="F355" s="1023"/>
      <c r="G355" s="1024"/>
      <c r="H355" s="1025"/>
      <c r="I355" s="1025"/>
      <c r="J355" s="1026"/>
      <c r="K355" s="1026"/>
      <c r="L355" s="1021"/>
      <c r="M355" s="1026"/>
      <c r="N355" s="1263" t="s">
        <v>413</v>
      </c>
      <c r="O355" s="816" t="s">
        <v>413</v>
      </c>
      <c r="P355" s="809"/>
      <c r="Q355" s="507"/>
      <c r="R355" s="201" t="s">
        <v>413</v>
      </c>
      <c r="S355" s="201"/>
      <c r="T355" s="1276" t="s">
        <v>413</v>
      </c>
      <c r="U355" s="511"/>
      <c r="V355" s="1025"/>
      <c r="W355" s="1025"/>
      <c r="X355" s="511"/>
      <c r="Y355" s="833" t="s">
        <v>413</v>
      </c>
      <c r="Z355" s="820"/>
      <c r="AA355" s="821"/>
      <c r="AB355" s="822"/>
      <c r="AC355" s="938" t="s">
        <v>413</v>
      </c>
      <c r="AD355" s="822" t="s">
        <v>413</v>
      </c>
      <c r="AE355" s="822"/>
      <c r="AF355" s="801">
        <v>5150</v>
      </c>
    </row>
    <row r="356" spans="1:32" ht="14.25">
      <c r="A356" s="496"/>
      <c r="B356" s="761"/>
      <c r="C356" s="761"/>
      <c r="D356" s="202"/>
      <c r="E356" s="203"/>
      <c r="F356" s="1112"/>
      <c r="G356" s="495"/>
      <c r="H356" s="506"/>
      <c r="I356" s="506"/>
      <c r="J356" s="764"/>
      <c r="K356" s="499"/>
      <c r="L356" s="495"/>
      <c r="M356" s="766"/>
      <c r="N356" s="500" t="s">
        <v>413</v>
      </c>
      <c r="O356" s="788" t="s">
        <v>413</v>
      </c>
      <c r="P356" s="811"/>
      <c r="Q356" s="609">
        <v>0.05</v>
      </c>
      <c r="R356" s="610">
        <v>230.72000000000003</v>
      </c>
      <c r="S356" s="610">
        <v>182</v>
      </c>
      <c r="T356" s="1279" t="s">
        <v>413</v>
      </c>
      <c r="U356" s="620">
        <v>10.458000000000002</v>
      </c>
      <c r="V356" s="1284"/>
      <c r="W356" s="1284"/>
      <c r="X356" s="620">
        <v>1.4000000000000001</v>
      </c>
      <c r="Y356" s="823" t="s">
        <v>413</v>
      </c>
      <c r="Z356" s="834"/>
      <c r="AA356" s="832"/>
      <c r="AB356" s="811"/>
      <c r="AC356" s="941" t="s">
        <v>413</v>
      </c>
      <c r="AD356" s="835" t="s">
        <v>413</v>
      </c>
      <c r="AE356" s="835"/>
      <c r="AF356" s="802"/>
    </row>
    <row r="357" spans="1:32" ht="14.25">
      <c r="A357" s="990">
        <v>5151</v>
      </c>
      <c r="B357" s="991"/>
      <c r="C357" s="991" t="s">
        <v>633</v>
      </c>
      <c r="D357" s="1040">
        <v>200</v>
      </c>
      <c r="E357" s="1028">
        <v>1700</v>
      </c>
      <c r="F357" s="1041">
        <v>32</v>
      </c>
      <c r="G357" s="1067">
        <v>16</v>
      </c>
      <c r="H357" s="620">
        <v>13</v>
      </c>
      <c r="I357" s="620">
        <v>20</v>
      </c>
      <c r="J357" s="1043">
        <v>15</v>
      </c>
      <c r="K357" s="1032" t="s">
        <v>347</v>
      </c>
      <c r="L357" s="1251">
        <v>12</v>
      </c>
      <c r="M357" s="1252">
        <v>2000</v>
      </c>
      <c r="N357" s="1264">
        <v>0.25</v>
      </c>
      <c r="O357" s="815">
        <v>4.05</v>
      </c>
      <c r="P357" s="812">
        <v>4</v>
      </c>
      <c r="Q357" s="507">
        <v>0.03333</v>
      </c>
      <c r="R357" s="201">
        <v>296.64000000000004</v>
      </c>
      <c r="S357" s="201">
        <v>224</v>
      </c>
      <c r="T357" s="1278">
        <v>163.4</v>
      </c>
      <c r="U357" s="511">
        <v>8.797333333333336</v>
      </c>
      <c r="V357" s="620">
        <v>3.4425</v>
      </c>
      <c r="W357" s="613"/>
      <c r="X357" s="511">
        <v>0.93324</v>
      </c>
      <c r="Y357" s="846">
        <v>3.4425</v>
      </c>
      <c r="Z357" s="828">
        <v>31.538833333333336</v>
      </c>
      <c r="AA357" s="838">
        <v>15.769416666666668</v>
      </c>
      <c r="AB357" s="830"/>
      <c r="AC357" s="940">
        <v>3.4</v>
      </c>
      <c r="AD357" s="830" t="s">
        <v>484</v>
      </c>
      <c r="AE357" s="830">
        <v>0</v>
      </c>
      <c r="AF357" s="803">
        <v>5151</v>
      </c>
    </row>
    <row r="358" spans="1:32" ht="14.25">
      <c r="A358" s="990">
        <v>5153</v>
      </c>
      <c r="B358" s="991" t="s">
        <v>1501</v>
      </c>
      <c r="C358" s="991" t="s">
        <v>634</v>
      </c>
      <c r="D358" s="1040">
        <v>253</v>
      </c>
      <c r="E358" s="1028">
        <v>19300</v>
      </c>
      <c r="F358" s="1041">
        <v>111</v>
      </c>
      <c r="G358" s="1067">
        <v>44</v>
      </c>
      <c r="H358" s="620">
        <v>38</v>
      </c>
      <c r="I358" s="620">
        <v>54</v>
      </c>
      <c r="J358" s="1043">
        <v>50</v>
      </c>
      <c r="K358" s="1032" t="s">
        <v>347</v>
      </c>
      <c r="L358" s="1251">
        <v>15</v>
      </c>
      <c r="M358" s="1252">
        <v>3000</v>
      </c>
      <c r="N358" s="1264">
        <v>0.25</v>
      </c>
      <c r="O358" s="815">
        <v>1.75</v>
      </c>
      <c r="P358" s="812">
        <v>15</v>
      </c>
      <c r="Q358" s="609">
        <v>0.025</v>
      </c>
      <c r="R358" s="610">
        <v>494.4</v>
      </c>
      <c r="S358" s="610">
        <v>259</v>
      </c>
      <c r="T358" s="1278">
        <v>1431.35</v>
      </c>
      <c r="U358" s="620">
        <v>9.567499999999999</v>
      </c>
      <c r="V358" s="620">
        <v>11.258333333333333</v>
      </c>
      <c r="W358" s="613"/>
      <c r="X358" s="620">
        <v>0.7000000000000001</v>
      </c>
      <c r="Y358" s="846">
        <v>11.258333333333333</v>
      </c>
      <c r="Z358" s="828"/>
      <c r="AA358" s="838">
        <v>43.87386666666667</v>
      </c>
      <c r="AB358" s="830"/>
      <c r="AC358" s="940">
        <v>38.6</v>
      </c>
      <c r="AD358" s="830" t="s">
        <v>484</v>
      </c>
      <c r="AE358" s="830">
        <v>0</v>
      </c>
      <c r="AF358" s="803">
        <v>5153</v>
      </c>
    </row>
    <row r="359" spans="1:32" ht="14.25">
      <c r="A359" s="154">
        <v>5154</v>
      </c>
      <c r="B359" s="992" t="s">
        <v>1501</v>
      </c>
      <c r="C359" s="992" t="s">
        <v>635</v>
      </c>
      <c r="D359" s="510">
        <v>358</v>
      </c>
      <c r="E359" s="504">
        <v>23000</v>
      </c>
      <c r="F359" s="509">
        <v>90</v>
      </c>
      <c r="G359" s="1068">
        <v>25</v>
      </c>
      <c r="H359" s="511">
        <v>21</v>
      </c>
      <c r="I359" s="511">
        <v>31</v>
      </c>
      <c r="J359" s="766">
        <v>100</v>
      </c>
      <c r="K359" s="145" t="s">
        <v>347</v>
      </c>
      <c r="L359" s="492">
        <v>15</v>
      </c>
      <c r="M359" s="782">
        <v>4000</v>
      </c>
      <c r="N359" s="500">
        <v>0.25</v>
      </c>
      <c r="O359" s="788">
        <v>1</v>
      </c>
      <c r="P359" s="492">
        <v>17</v>
      </c>
      <c r="Q359" s="507">
        <v>0.025</v>
      </c>
      <c r="R359" s="201">
        <v>208.95</v>
      </c>
      <c r="S359" s="201">
        <v>105</v>
      </c>
      <c r="T359" s="1277">
        <v>1700.5</v>
      </c>
      <c r="U359" s="506">
        <v>3.9768749999999997</v>
      </c>
      <c r="V359" s="511">
        <v>5.75</v>
      </c>
      <c r="W359" s="506"/>
      <c r="X359" s="506">
        <v>0.7000000000000001</v>
      </c>
      <c r="Y359" s="848">
        <v>5.75</v>
      </c>
      <c r="Z359" s="831"/>
      <c r="AA359" s="861">
        <v>25.0305</v>
      </c>
      <c r="AB359" s="826"/>
      <c r="AC359" s="939">
        <v>46</v>
      </c>
      <c r="AD359" s="826" t="s">
        <v>484</v>
      </c>
      <c r="AE359" s="826">
        <v>0</v>
      </c>
      <c r="AF359" s="804">
        <v>5154</v>
      </c>
    </row>
    <row r="360" spans="1:32" ht="14.25">
      <c r="A360" s="990">
        <v>5156</v>
      </c>
      <c r="B360" s="991" t="s">
        <v>1501</v>
      </c>
      <c r="C360" s="991" t="s">
        <v>1214</v>
      </c>
      <c r="D360" s="1040">
        <v>402</v>
      </c>
      <c r="E360" s="1028">
        <v>39000</v>
      </c>
      <c r="F360" s="1041">
        <v>91</v>
      </c>
      <c r="G360" s="1067">
        <v>23</v>
      </c>
      <c r="H360" s="620">
        <v>20</v>
      </c>
      <c r="I360" s="620">
        <v>27</v>
      </c>
      <c r="J360" s="1043">
        <v>250</v>
      </c>
      <c r="K360" s="1032" t="s">
        <v>347</v>
      </c>
      <c r="L360" s="1251">
        <v>15</v>
      </c>
      <c r="M360" s="1252">
        <v>5000</v>
      </c>
      <c r="N360" s="1264">
        <v>0.1</v>
      </c>
      <c r="O360" s="815">
        <v>1</v>
      </c>
      <c r="P360" s="812">
        <v>29</v>
      </c>
      <c r="Q360" s="507"/>
      <c r="R360" s="201" t="s">
        <v>413</v>
      </c>
      <c r="S360" s="201"/>
      <c r="T360" s="1278">
        <v>3216</v>
      </c>
      <c r="U360" s="506"/>
      <c r="V360" s="620">
        <v>7.8</v>
      </c>
      <c r="W360" s="613"/>
      <c r="X360" s="506"/>
      <c r="Y360" s="846">
        <v>7.8</v>
      </c>
      <c r="Z360" s="828"/>
      <c r="AA360" s="838">
        <v>22.730400000000003</v>
      </c>
      <c r="AB360" s="830"/>
      <c r="AC360" s="940">
        <v>78</v>
      </c>
      <c r="AD360" s="830" t="s">
        <v>484</v>
      </c>
      <c r="AE360" s="830">
        <v>0</v>
      </c>
      <c r="AF360" s="803">
        <v>5156</v>
      </c>
    </row>
    <row r="361" spans="1:32" ht="14.25">
      <c r="A361" s="154">
        <v>5157</v>
      </c>
      <c r="B361" s="992" t="s">
        <v>1501</v>
      </c>
      <c r="C361" s="992" t="s">
        <v>636</v>
      </c>
      <c r="D361" s="510">
        <v>323</v>
      </c>
      <c r="E361" s="504">
        <v>45000</v>
      </c>
      <c r="F361" s="509">
        <v>141</v>
      </c>
      <c r="G361" s="1068">
        <v>44</v>
      </c>
      <c r="H361" s="511">
        <v>38</v>
      </c>
      <c r="I361" s="511">
        <v>53</v>
      </c>
      <c r="J361" s="766">
        <v>150</v>
      </c>
      <c r="K361" s="145" t="s">
        <v>347</v>
      </c>
      <c r="L361" s="492">
        <v>15</v>
      </c>
      <c r="M361" s="782">
        <v>3000</v>
      </c>
      <c r="N361" s="500">
        <v>0.1</v>
      </c>
      <c r="O361" s="788">
        <v>1</v>
      </c>
      <c r="P361" s="492">
        <v>34</v>
      </c>
      <c r="Q361" s="603"/>
      <c r="R361" s="605" t="s">
        <v>413</v>
      </c>
      <c r="S361" s="606"/>
      <c r="T361" s="1277">
        <v>3714</v>
      </c>
      <c r="U361" s="604"/>
      <c r="V361" s="511">
        <v>15</v>
      </c>
      <c r="W361" s="506"/>
      <c r="X361" s="604"/>
      <c r="Y361" s="848">
        <v>15</v>
      </c>
      <c r="Z361" s="831"/>
      <c r="AA361" s="861">
        <v>43.73600000000001</v>
      </c>
      <c r="AB361" s="826"/>
      <c r="AC361" s="939">
        <v>90</v>
      </c>
      <c r="AD361" s="826" t="s">
        <v>484</v>
      </c>
      <c r="AE361" s="826">
        <v>0</v>
      </c>
      <c r="AF361" s="804">
        <v>5157</v>
      </c>
    </row>
    <row r="362" spans="1:32" ht="14.25">
      <c r="A362" s="990">
        <v>5158</v>
      </c>
      <c r="B362" s="991" t="s">
        <v>1501</v>
      </c>
      <c r="C362" s="991" t="s">
        <v>637</v>
      </c>
      <c r="D362" s="1040">
        <v>412</v>
      </c>
      <c r="E362" s="1028">
        <v>62000</v>
      </c>
      <c r="F362" s="1041">
        <v>143</v>
      </c>
      <c r="G362" s="1067">
        <v>35</v>
      </c>
      <c r="H362" s="620"/>
      <c r="I362" s="620">
        <v>42</v>
      </c>
      <c r="J362" s="1043">
        <v>300</v>
      </c>
      <c r="K362" s="1032" t="s">
        <v>347</v>
      </c>
      <c r="L362" s="1251">
        <v>15</v>
      </c>
      <c r="M362" s="1252">
        <v>5000</v>
      </c>
      <c r="N362" s="1264">
        <v>0</v>
      </c>
      <c r="O362" s="815">
        <v>1</v>
      </c>
      <c r="P362" s="812">
        <v>91</v>
      </c>
      <c r="Q362" s="507"/>
      <c r="R362" s="201" t="s">
        <v>413</v>
      </c>
      <c r="S362" s="201"/>
      <c r="T362" s="1278">
        <v>5733.333333333333</v>
      </c>
      <c r="U362" s="506"/>
      <c r="V362" s="620">
        <v>12.4</v>
      </c>
      <c r="W362" s="613"/>
      <c r="X362" s="506"/>
      <c r="Y362" s="846">
        <v>12.4</v>
      </c>
      <c r="Z362" s="828"/>
      <c r="AA362" s="838">
        <v>34.662222222222226</v>
      </c>
      <c r="AB362" s="830"/>
      <c r="AC362" s="940">
        <v>124</v>
      </c>
      <c r="AD362" s="830" t="s">
        <v>484</v>
      </c>
      <c r="AE362" s="830">
        <v>0</v>
      </c>
      <c r="AF362" s="803">
        <v>5158</v>
      </c>
    </row>
    <row r="363" spans="1:32" ht="14.25">
      <c r="A363" s="496"/>
      <c r="B363" s="761"/>
      <c r="C363" s="761"/>
      <c r="D363" s="499"/>
      <c r="E363" s="203"/>
      <c r="F363" s="499"/>
      <c r="G363" s="495"/>
      <c r="H363" s="495"/>
      <c r="I363" s="495"/>
      <c r="J363" s="499"/>
      <c r="K363" s="499"/>
      <c r="L363" s="495"/>
      <c r="M363" s="499"/>
      <c r="N363" s="500" t="s">
        <v>413</v>
      </c>
      <c r="O363" s="788" t="s">
        <v>413</v>
      </c>
      <c r="P363" s="811"/>
      <c r="Q363" s="609">
        <v>0.05</v>
      </c>
      <c r="R363" s="610">
        <v>652.5</v>
      </c>
      <c r="S363" s="610">
        <v>91</v>
      </c>
      <c r="T363" s="1279" t="s">
        <v>413</v>
      </c>
      <c r="U363" s="620">
        <v>15.17</v>
      </c>
      <c r="V363" s="499"/>
      <c r="W363" s="499"/>
      <c r="X363" s="620">
        <v>1.4000000000000001</v>
      </c>
      <c r="Y363" s="848" t="s">
        <v>413</v>
      </c>
      <c r="Z363" s="811"/>
      <c r="AA363" s="811"/>
      <c r="AB363" s="811"/>
      <c r="AC363" s="941" t="s">
        <v>413</v>
      </c>
      <c r="AD363" s="835" t="s">
        <v>413</v>
      </c>
      <c r="AE363" s="811"/>
      <c r="AF363" s="802"/>
    </row>
    <row r="364" spans="1:32" ht="14.25">
      <c r="A364" s="997"/>
      <c r="B364" s="998"/>
      <c r="C364" s="999" t="s">
        <v>638</v>
      </c>
      <c r="D364" s="1106"/>
      <c r="E364" s="1058"/>
      <c r="F364" s="1059"/>
      <c r="G364" s="1107"/>
      <c r="H364" s="1108"/>
      <c r="I364" s="1108"/>
      <c r="J364" s="1109"/>
      <c r="K364" s="1063"/>
      <c r="L364" s="1253"/>
      <c r="M364" s="1109"/>
      <c r="N364" s="1265" t="s">
        <v>413</v>
      </c>
      <c r="O364" s="817" t="s">
        <v>413</v>
      </c>
      <c r="P364" s="813"/>
      <c r="Q364" s="507">
        <v>0.05</v>
      </c>
      <c r="R364" s="201">
        <v>1052.7</v>
      </c>
      <c r="S364" s="201">
        <v>133</v>
      </c>
      <c r="T364" s="1280" t="s">
        <v>413</v>
      </c>
      <c r="U364" s="511">
        <v>24.198</v>
      </c>
      <c r="V364" s="1108"/>
      <c r="W364" s="1061"/>
      <c r="X364" s="511">
        <v>1.4000000000000001</v>
      </c>
      <c r="Y364" s="876" t="s">
        <v>413</v>
      </c>
      <c r="Z364" s="857"/>
      <c r="AA364" s="877"/>
      <c r="AB364" s="859"/>
      <c r="AC364" s="942" t="s">
        <v>413</v>
      </c>
      <c r="AD364" s="859" t="s">
        <v>413</v>
      </c>
      <c r="AE364" s="859"/>
      <c r="AF364" s="805"/>
    </row>
    <row r="365" spans="1:32" ht="14.25">
      <c r="A365" s="496"/>
      <c r="B365" s="761"/>
      <c r="C365" s="762"/>
      <c r="D365" s="510"/>
      <c r="E365" s="504"/>
      <c r="F365" s="509"/>
      <c r="G365" s="1065"/>
      <c r="H365" s="511"/>
      <c r="I365" s="511"/>
      <c r="J365" s="766"/>
      <c r="K365" s="495"/>
      <c r="L365" s="496"/>
      <c r="M365" s="766"/>
      <c r="N365" s="500" t="s">
        <v>413</v>
      </c>
      <c r="O365" s="788" t="s">
        <v>413</v>
      </c>
      <c r="P365" s="810"/>
      <c r="Q365" s="609">
        <v>0.05</v>
      </c>
      <c r="R365" s="610">
        <v>1226.7</v>
      </c>
      <c r="S365" s="610">
        <v>182</v>
      </c>
      <c r="T365" s="1277" t="s">
        <v>413</v>
      </c>
      <c r="U365" s="620">
        <v>28.738000000000003</v>
      </c>
      <c r="V365" s="511"/>
      <c r="W365" s="506"/>
      <c r="X365" s="620">
        <v>1.4000000000000001</v>
      </c>
      <c r="Y365" s="848" t="s">
        <v>413</v>
      </c>
      <c r="Z365" s="831"/>
      <c r="AA365" s="861"/>
      <c r="AB365" s="802"/>
      <c r="AC365" s="939" t="s">
        <v>413</v>
      </c>
      <c r="AD365" s="826" t="s">
        <v>413</v>
      </c>
      <c r="AE365" s="826"/>
      <c r="AF365" s="802"/>
    </row>
    <row r="366" spans="1:32" ht="14.25">
      <c r="A366" s="987">
        <v>6000</v>
      </c>
      <c r="B366" s="988"/>
      <c r="C366" s="989" t="s">
        <v>639</v>
      </c>
      <c r="D366" s="1021"/>
      <c r="E366" s="1022"/>
      <c r="F366" s="1023"/>
      <c r="G366" s="1024"/>
      <c r="H366" s="1025"/>
      <c r="I366" s="1025"/>
      <c r="J366" s="1026"/>
      <c r="K366" s="1026"/>
      <c r="L366" s="1021"/>
      <c r="M366" s="1026"/>
      <c r="N366" s="1263" t="s">
        <v>413</v>
      </c>
      <c r="O366" s="816" t="s">
        <v>413</v>
      </c>
      <c r="P366" s="809"/>
      <c r="Q366" s="507">
        <v>0.05</v>
      </c>
      <c r="R366" s="201">
        <v>1566</v>
      </c>
      <c r="S366" s="201">
        <v>224</v>
      </c>
      <c r="T366" s="1276" t="s">
        <v>413</v>
      </c>
      <c r="U366" s="511">
        <v>36.52</v>
      </c>
      <c r="V366" s="1025"/>
      <c r="W366" s="1025"/>
      <c r="X366" s="511">
        <v>1.4000000000000001</v>
      </c>
      <c r="Y366" s="874" t="s">
        <v>413</v>
      </c>
      <c r="Z366" s="820"/>
      <c r="AA366" s="821"/>
      <c r="AB366" s="822"/>
      <c r="AC366" s="938" t="s">
        <v>413</v>
      </c>
      <c r="AD366" s="822" t="s">
        <v>413</v>
      </c>
      <c r="AE366" s="822"/>
      <c r="AF366" s="801">
        <v>6000</v>
      </c>
    </row>
    <row r="367" spans="1:32" ht="14.25">
      <c r="A367" s="496"/>
      <c r="B367" s="761"/>
      <c r="C367" s="496"/>
      <c r="D367" s="510"/>
      <c r="E367" s="504"/>
      <c r="F367" s="509"/>
      <c r="G367" s="1065"/>
      <c r="H367" s="511"/>
      <c r="I367" s="511"/>
      <c r="J367" s="766"/>
      <c r="K367" s="495"/>
      <c r="L367" s="496"/>
      <c r="M367" s="766"/>
      <c r="N367" s="500" t="s">
        <v>413</v>
      </c>
      <c r="O367" s="788" t="s">
        <v>413</v>
      </c>
      <c r="P367" s="810"/>
      <c r="Q367" s="609">
        <v>0.05</v>
      </c>
      <c r="R367" s="610">
        <v>1044</v>
      </c>
      <c r="S367" s="610">
        <v>105</v>
      </c>
      <c r="T367" s="1277" t="s">
        <v>413</v>
      </c>
      <c r="U367" s="608">
        <v>11.73</v>
      </c>
      <c r="V367" s="511"/>
      <c r="W367" s="506"/>
      <c r="X367" s="608">
        <v>1.4000000000000001</v>
      </c>
      <c r="Y367" s="848" t="s">
        <v>413</v>
      </c>
      <c r="Z367" s="831"/>
      <c r="AA367" s="861"/>
      <c r="AB367" s="802"/>
      <c r="AC367" s="939" t="s">
        <v>413</v>
      </c>
      <c r="AD367" s="826" t="s">
        <v>413</v>
      </c>
      <c r="AE367" s="826"/>
      <c r="AF367" s="802"/>
    </row>
    <row r="368" spans="1:32" ht="14.25">
      <c r="A368" s="990">
        <v>6001</v>
      </c>
      <c r="B368" s="991"/>
      <c r="C368" s="991" t="s">
        <v>640</v>
      </c>
      <c r="D368" s="1040"/>
      <c r="E368" s="1028">
        <v>5100</v>
      </c>
      <c r="F368" s="1041"/>
      <c r="G368" s="1067">
        <v>16</v>
      </c>
      <c r="H368" s="1111">
        <v>14</v>
      </c>
      <c r="I368" s="620">
        <v>19</v>
      </c>
      <c r="J368" s="1043">
        <v>60</v>
      </c>
      <c r="K368" s="1032" t="s">
        <v>347</v>
      </c>
      <c r="L368" s="1251">
        <v>15</v>
      </c>
      <c r="M368" s="1252">
        <v>1500</v>
      </c>
      <c r="N368" s="1264">
        <v>0.1</v>
      </c>
      <c r="O368" s="815">
        <v>1.8</v>
      </c>
      <c r="P368" s="812">
        <v>16</v>
      </c>
      <c r="Q368" s="507">
        <v>0.05</v>
      </c>
      <c r="R368" s="201">
        <v>1218</v>
      </c>
      <c r="S368" s="201">
        <v>147</v>
      </c>
      <c r="T368" s="1278">
        <v>493.79999999999995</v>
      </c>
      <c r="U368" s="506">
        <v>13.93</v>
      </c>
      <c r="V368" s="620">
        <v>6.12</v>
      </c>
      <c r="W368" s="613"/>
      <c r="X368" s="506">
        <v>1.4000000000000001</v>
      </c>
      <c r="Y368" s="846">
        <v>6.12</v>
      </c>
      <c r="Z368" s="828"/>
      <c r="AA368" s="838">
        <v>15.784999999999998</v>
      </c>
      <c r="AB368" s="830"/>
      <c r="AC368" s="940">
        <v>10.200000000000001</v>
      </c>
      <c r="AD368" s="830" t="s">
        <v>484</v>
      </c>
      <c r="AE368" s="830">
        <v>0</v>
      </c>
      <c r="AF368" s="803">
        <v>6001</v>
      </c>
    </row>
    <row r="369" spans="1:32" ht="14.25">
      <c r="A369" s="154">
        <v>6002</v>
      </c>
      <c r="B369" s="992"/>
      <c r="C369" s="992" t="s">
        <v>641</v>
      </c>
      <c r="D369" s="510">
        <v>80</v>
      </c>
      <c r="E369" s="504">
        <v>2700</v>
      </c>
      <c r="F369" s="509">
        <v>8</v>
      </c>
      <c r="G369" s="1068">
        <v>10</v>
      </c>
      <c r="H369" s="522">
        <v>9</v>
      </c>
      <c r="I369" s="511">
        <v>12</v>
      </c>
      <c r="J369" s="766">
        <v>40</v>
      </c>
      <c r="K369" s="145" t="s">
        <v>347</v>
      </c>
      <c r="L369" s="492">
        <v>15</v>
      </c>
      <c r="M369" s="782">
        <v>1500</v>
      </c>
      <c r="N369" s="500">
        <v>0.25</v>
      </c>
      <c r="O369" s="788">
        <v>2.55</v>
      </c>
      <c r="P369" s="492"/>
      <c r="Q369" s="609">
        <v>0.05</v>
      </c>
      <c r="R369" s="610">
        <v>3582</v>
      </c>
      <c r="S369" s="610">
        <v>203</v>
      </c>
      <c r="T369" s="1277">
        <v>187.65</v>
      </c>
      <c r="U369" s="608">
        <v>25.713333333333335</v>
      </c>
      <c r="V369" s="511">
        <v>4.59</v>
      </c>
      <c r="W369" s="506"/>
      <c r="X369" s="608">
        <v>1.4000000000000001</v>
      </c>
      <c r="Y369" s="848">
        <v>4.59</v>
      </c>
      <c r="Z369" s="831">
        <v>8.1675</v>
      </c>
      <c r="AA369" s="861">
        <v>10.209375000000001</v>
      </c>
      <c r="AB369" s="826"/>
      <c r="AC369" s="939">
        <v>5.4</v>
      </c>
      <c r="AD369" s="826" t="s">
        <v>484</v>
      </c>
      <c r="AE369" s="826">
        <v>0</v>
      </c>
      <c r="AF369" s="804">
        <v>6002</v>
      </c>
    </row>
    <row r="370" spans="1:32" ht="14.25">
      <c r="A370" s="990">
        <v>6003</v>
      </c>
      <c r="B370" s="991"/>
      <c r="C370" s="991" t="s">
        <v>642</v>
      </c>
      <c r="D370" s="1040">
        <v>100</v>
      </c>
      <c r="E370" s="1028">
        <v>5500</v>
      </c>
      <c r="F370" s="1041">
        <v>10</v>
      </c>
      <c r="G370" s="1067">
        <v>10</v>
      </c>
      <c r="H370" s="1111">
        <v>9</v>
      </c>
      <c r="I370" s="620">
        <v>12</v>
      </c>
      <c r="J370" s="1043">
        <v>80</v>
      </c>
      <c r="K370" s="1032" t="s">
        <v>347</v>
      </c>
      <c r="L370" s="1251">
        <v>12</v>
      </c>
      <c r="M370" s="1252">
        <v>2000</v>
      </c>
      <c r="N370" s="1264">
        <v>0.25</v>
      </c>
      <c r="O370" s="815">
        <v>1</v>
      </c>
      <c r="P370" s="812">
        <v>10</v>
      </c>
      <c r="Q370" s="507"/>
      <c r="R370" s="201" t="s">
        <v>413</v>
      </c>
      <c r="S370" s="201"/>
      <c r="T370" s="1278">
        <v>511</v>
      </c>
      <c r="U370" s="506"/>
      <c r="V370" s="620">
        <v>2.75</v>
      </c>
      <c r="W370" s="613"/>
      <c r="X370" s="506"/>
      <c r="Y370" s="846">
        <v>2.75</v>
      </c>
      <c r="Z370" s="828"/>
      <c r="AA370" s="838">
        <v>10.05125</v>
      </c>
      <c r="AB370" s="830"/>
      <c r="AC370" s="940">
        <v>11</v>
      </c>
      <c r="AD370" s="830" t="s">
        <v>484</v>
      </c>
      <c r="AE370" s="830">
        <v>0</v>
      </c>
      <c r="AF370" s="803">
        <v>6003</v>
      </c>
    </row>
    <row r="371" spans="1:32" ht="14.25">
      <c r="A371" s="154">
        <v>6004</v>
      </c>
      <c r="B371" s="992"/>
      <c r="C371" s="992" t="s">
        <v>643</v>
      </c>
      <c r="D371" s="510">
        <v>110</v>
      </c>
      <c r="E371" s="504">
        <v>6900</v>
      </c>
      <c r="F371" s="509">
        <v>11.5</v>
      </c>
      <c r="G371" s="1068">
        <v>10.5</v>
      </c>
      <c r="H371" s="522">
        <v>9</v>
      </c>
      <c r="I371" s="511">
        <v>13</v>
      </c>
      <c r="J371" s="766">
        <v>100</v>
      </c>
      <c r="K371" s="145" t="s">
        <v>347</v>
      </c>
      <c r="L371" s="492">
        <v>12</v>
      </c>
      <c r="M371" s="782">
        <v>2400</v>
      </c>
      <c r="N371" s="500">
        <v>0.25</v>
      </c>
      <c r="O371" s="788">
        <v>0.95</v>
      </c>
      <c r="P371" s="492">
        <v>17</v>
      </c>
      <c r="Q371" s="603"/>
      <c r="R371" s="605" t="s">
        <v>413</v>
      </c>
      <c r="S371" s="606"/>
      <c r="T371" s="1277">
        <v>667.8</v>
      </c>
      <c r="U371" s="604"/>
      <c r="V371" s="511">
        <v>2.7312499999999997</v>
      </c>
      <c r="W371" s="506"/>
      <c r="X371" s="604"/>
      <c r="Y371" s="848">
        <v>2.7312499999999997</v>
      </c>
      <c r="Z371" s="831"/>
      <c r="AA371" s="861">
        <v>10.350175</v>
      </c>
      <c r="AB371" s="826"/>
      <c r="AC371" s="939">
        <v>13.8</v>
      </c>
      <c r="AD371" s="826" t="s">
        <v>484</v>
      </c>
      <c r="AE371" s="826">
        <v>0</v>
      </c>
      <c r="AF371" s="804">
        <v>6004</v>
      </c>
    </row>
    <row r="372" spans="1:32" ht="14.25">
      <c r="A372" s="990">
        <v>6005</v>
      </c>
      <c r="B372" s="991"/>
      <c r="C372" s="991" t="s">
        <v>644</v>
      </c>
      <c r="D372" s="1040">
        <v>120</v>
      </c>
      <c r="E372" s="1028">
        <v>21000</v>
      </c>
      <c r="F372" s="1041">
        <v>26</v>
      </c>
      <c r="G372" s="1067">
        <v>22</v>
      </c>
      <c r="H372" s="1111">
        <v>18</v>
      </c>
      <c r="I372" s="620">
        <v>28</v>
      </c>
      <c r="J372" s="1043">
        <v>120</v>
      </c>
      <c r="K372" s="1032" t="s">
        <v>347</v>
      </c>
      <c r="L372" s="1251">
        <v>12</v>
      </c>
      <c r="M372" s="1252">
        <v>3600</v>
      </c>
      <c r="N372" s="1264">
        <v>0.25</v>
      </c>
      <c r="O372" s="815">
        <v>0.7</v>
      </c>
      <c r="P372" s="812">
        <v>28</v>
      </c>
      <c r="Q372" s="507"/>
      <c r="R372" s="201" t="s">
        <v>413</v>
      </c>
      <c r="S372" s="201"/>
      <c r="T372" s="1278">
        <v>1890</v>
      </c>
      <c r="U372" s="506"/>
      <c r="V372" s="620">
        <v>4.083333333333333</v>
      </c>
      <c r="W372" s="613"/>
      <c r="X372" s="506"/>
      <c r="Y372" s="846">
        <v>4.083333333333333</v>
      </c>
      <c r="Z372" s="828"/>
      <c r="AA372" s="838">
        <v>21.816666666666666</v>
      </c>
      <c r="AB372" s="830"/>
      <c r="AC372" s="940">
        <v>42</v>
      </c>
      <c r="AD372" s="830" t="s">
        <v>484</v>
      </c>
      <c r="AE372" s="830">
        <v>0</v>
      </c>
      <c r="AF372" s="803">
        <v>6005</v>
      </c>
    </row>
    <row r="373" spans="1:32" ht="28.5">
      <c r="A373" s="154">
        <v>6006</v>
      </c>
      <c r="B373" s="992"/>
      <c r="C373" s="992" t="s">
        <v>645</v>
      </c>
      <c r="D373" s="510"/>
      <c r="E373" s="504">
        <v>4000</v>
      </c>
      <c r="F373" s="509"/>
      <c r="G373" s="1068">
        <v>18</v>
      </c>
      <c r="H373" s="522">
        <v>15</v>
      </c>
      <c r="I373" s="511">
        <v>24</v>
      </c>
      <c r="J373" s="766">
        <v>30</v>
      </c>
      <c r="K373" s="145" t="s">
        <v>347</v>
      </c>
      <c r="L373" s="492">
        <v>12</v>
      </c>
      <c r="M373" s="782">
        <v>1500</v>
      </c>
      <c r="N373" s="500">
        <v>0.25</v>
      </c>
      <c r="O373" s="788">
        <v>1</v>
      </c>
      <c r="P373" s="492">
        <v>16</v>
      </c>
      <c r="Q373" s="609">
        <v>0.1</v>
      </c>
      <c r="R373" s="610">
        <v>121.8</v>
      </c>
      <c r="S373" s="610">
        <v>28</v>
      </c>
      <c r="T373" s="1277">
        <v>424</v>
      </c>
      <c r="U373" s="620">
        <v>10.173333333333336</v>
      </c>
      <c r="V373" s="511">
        <v>2.6666666666666665</v>
      </c>
      <c r="W373" s="506"/>
      <c r="X373" s="620">
        <v>2.8000000000000003</v>
      </c>
      <c r="Y373" s="848">
        <v>2.6666666666666665</v>
      </c>
      <c r="Z373" s="831"/>
      <c r="AA373" s="861">
        <v>18.480000000000004</v>
      </c>
      <c r="AB373" s="826"/>
      <c r="AC373" s="939">
        <v>8</v>
      </c>
      <c r="AD373" s="826" t="s">
        <v>484</v>
      </c>
      <c r="AE373" s="826">
        <v>0</v>
      </c>
      <c r="AF373" s="804">
        <v>6006</v>
      </c>
    </row>
    <row r="374" spans="1:32" ht="14.25">
      <c r="A374" s="496"/>
      <c r="B374" s="761"/>
      <c r="C374" s="496"/>
      <c r="D374" s="510"/>
      <c r="E374" s="504"/>
      <c r="F374" s="509"/>
      <c r="G374" s="1065"/>
      <c r="H374" s="511"/>
      <c r="I374" s="511"/>
      <c r="J374" s="766"/>
      <c r="K374" s="495"/>
      <c r="L374" s="496"/>
      <c r="M374" s="766"/>
      <c r="N374" s="500" t="s">
        <v>413</v>
      </c>
      <c r="O374" s="788" t="s">
        <v>413</v>
      </c>
      <c r="P374" s="810"/>
      <c r="Q374" s="507">
        <v>0.1</v>
      </c>
      <c r="R374" s="201">
        <v>745</v>
      </c>
      <c r="S374" s="201">
        <v>105</v>
      </c>
      <c r="T374" s="1277" t="s">
        <v>413</v>
      </c>
      <c r="U374" s="511">
        <v>21.75</v>
      </c>
      <c r="V374" s="511"/>
      <c r="W374" s="506"/>
      <c r="X374" s="511">
        <v>2.8000000000000003</v>
      </c>
      <c r="Y374" s="823" t="s">
        <v>413</v>
      </c>
      <c r="Z374" s="831"/>
      <c r="AA374" s="861"/>
      <c r="AB374" s="802"/>
      <c r="AC374" s="939" t="s">
        <v>413</v>
      </c>
      <c r="AD374" s="826" t="s">
        <v>413</v>
      </c>
      <c r="AE374" s="826"/>
      <c r="AF374" s="802"/>
    </row>
    <row r="375" spans="1:32" ht="14.25">
      <c r="A375" s="987">
        <v>6020</v>
      </c>
      <c r="B375" s="988" t="s">
        <v>1501</v>
      </c>
      <c r="C375" s="989" t="s">
        <v>646</v>
      </c>
      <c r="D375" s="1021"/>
      <c r="E375" s="1022"/>
      <c r="F375" s="1023"/>
      <c r="G375" s="1024"/>
      <c r="H375" s="1025"/>
      <c r="I375" s="1025"/>
      <c r="J375" s="1026"/>
      <c r="K375" s="1026"/>
      <c r="L375" s="1021"/>
      <c r="M375" s="1026"/>
      <c r="N375" s="1263" t="s">
        <v>413</v>
      </c>
      <c r="O375" s="816" t="s">
        <v>413</v>
      </c>
      <c r="P375" s="809"/>
      <c r="Q375" s="609">
        <v>0.1</v>
      </c>
      <c r="R375" s="610">
        <v>1013.2</v>
      </c>
      <c r="S375" s="610">
        <v>105</v>
      </c>
      <c r="T375" s="1276" t="s">
        <v>413</v>
      </c>
      <c r="U375" s="620">
        <v>22.908</v>
      </c>
      <c r="V375" s="1025"/>
      <c r="W375" s="1025"/>
      <c r="X375" s="620">
        <v>2.8000000000000003</v>
      </c>
      <c r="Y375" s="833" t="s">
        <v>413</v>
      </c>
      <c r="Z375" s="820"/>
      <c r="AA375" s="821"/>
      <c r="AB375" s="822"/>
      <c r="AC375" s="938" t="s">
        <v>413</v>
      </c>
      <c r="AD375" s="822" t="s">
        <v>413</v>
      </c>
      <c r="AE375" s="822"/>
      <c r="AF375" s="801">
        <v>6020</v>
      </c>
    </row>
    <row r="376" spans="1:32" ht="14.25">
      <c r="A376" s="496"/>
      <c r="B376" s="761"/>
      <c r="C376" s="761"/>
      <c r="D376" s="208"/>
      <c r="E376" s="203"/>
      <c r="F376" s="765"/>
      <c r="G376" s="495"/>
      <c r="H376" s="495"/>
      <c r="I376" s="495"/>
      <c r="J376" s="499"/>
      <c r="K376" s="499"/>
      <c r="L376" s="495"/>
      <c r="M376" s="499"/>
      <c r="N376" s="500" t="s">
        <v>413</v>
      </c>
      <c r="O376" s="788" t="s">
        <v>413</v>
      </c>
      <c r="P376" s="811"/>
      <c r="Q376" s="507">
        <v>0.1</v>
      </c>
      <c r="R376" s="201">
        <v>1601.75</v>
      </c>
      <c r="S376" s="201">
        <v>119</v>
      </c>
      <c r="T376" s="1279" t="s">
        <v>413</v>
      </c>
      <c r="U376" s="511">
        <v>17.6375</v>
      </c>
      <c r="V376" s="499"/>
      <c r="W376" s="499"/>
      <c r="X376" s="511">
        <v>2.8000000000000003</v>
      </c>
      <c r="Y376" s="823" t="s">
        <v>413</v>
      </c>
      <c r="Z376" s="811"/>
      <c r="AA376" s="811"/>
      <c r="AB376" s="811"/>
      <c r="AC376" s="941" t="s">
        <v>413</v>
      </c>
      <c r="AD376" s="835" t="s">
        <v>413</v>
      </c>
      <c r="AE376" s="811"/>
      <c r="AF376" s="802"/>
    </row>
    <row r="377" spans="1:32" ht="28.5">
      <c r="A377" s="990">
        <v>6021</v>
      </c>
      <c r="B377" s="991"/>
      <c r="C377" s="991" t="s">
        <v>995</v>
      </c>
      <c r="D377" s="1115">
        <v>2.8</v>
      </c>
      <c r="E377" s="1028">
        <v>16000</v>
      </c>
      <c r="F377" s="1041">
        <v>79</v>
      </c>
      <c r="G377" s="1116">
        <v>28</v>
      </c>
      <c r="H377" s="1096">
        <v>23.5</v>
      </c>
      <c r="I377" s="1096">
        <v>36</v>
      </c>
      <c r="J377" s="1117">
        <v>80</v>
      </c>
      <c r="K377" s="1118"/>
      <c r="L377" s="1251">
        <v>10</v>
      </c>
      <c r="M377" s="1117">
        <v>3000</v>
      </c>
      <c r="N377" s="1264">
        <v>0.25</v>
      </c>
      <c r="O377" s="815">
        <v>0.85</v>
      </c>
      <c r="P377" s="812">
        <v>31</v>
      </c>
      <c r="Q377" s="609">
        <v>0.067</v>
      </c>
      <c r="R377" s="610">
        <v>3378.4</v>
      </c>
      <c r="S377" s="610">
        <v>203</v>
      </c>
      <c r="T377" s="1278">
        <v>1698</v>
      </c>
      <c r="U377" s="620">
        <v>14.6536</v>
      </c>
      <c r="V377" s="1096">
        <v>4.533333333333333</v>
      </c>
      <c r="W377" s="1096"/>
      <c r="X377" s="620">
        <v>1.8760000000000001</v>
      </c>
      <c r="Y377" s="879">
        <v>4.533333333333333</v>
      </c>
      <c r="Z377" s="828">
        <v>79.33566666666667</v>
      </c>
      <c r="AA377" s="869">
        <v>28.33416666666667</v>
      </c>
      <c r="AB377" s="830"/>
      <c r="AC377" s="940">
        <v>32</v>
      </c>
      <c r="AD377" s="830" t="s">
        <v>485</v>
      </c>
      <c r="AE377" s="830">
        <v>0</v>
      </c>
      <c r="AF377" s="803">
        <v>6021</v>
      </c>
    </row>
    <row r="378" spans="1:32" ht="28.5">
      <c r="A378" s="154">
        <v>6022</v>
      </c>
      <c r="B378" s="992"/>
      <c r="C378" s="992" t="s">
        <v>996</v>
      </c>
      <c r="D378" s="1090">
        <v>2.4</v>
      </c>
      <c r="E378" s="504">
        <v>19500</v>
      </c>
      <c r="F378" s="509">
        <v>82</v>
      </c>
      <c r="G378" s="1091">
        <v>34</v>
      </c>
      <c r="H378" s="1092">
        <v>28</v>
      </c>
      <c r="I378" s="1092">
        <v>43</v>
      </c>
      <c r="J378" s="1093">
        <v>80</v>
      </c>
      <c r="K378" s="210"/>
      <c r="L378" s="492">
        <v>10</v>
      </c>
      <c r="M378" s="1093">
        <v>3000</v>
      </c>
      <c r="N378" s="500">
        <v>0.25</v>
      </c>
      <c r="O378" s="788">
        <v>0.85</v>
      </c>
      <c r="P378" s="492">
        <v>32</v>
      </c>
      <c r="Q378" s="507">
        <v>0.067</v>
      </c>
      <c r="R378" s="201">
        <v>3296</v>
      </c>
      <c r="S378" s="201">
        <v>238</v>
      </c>
      <c r="T378" s="1277">
        <v>2034.75</v>
      </c>
      <c r="U378" s="511">
        <v>24.093333333333334</v>
      </c>
      <c r="V378" s="1092">
        <v>5.5249999999999995</v>
      </c>
      <c r="W378" s="1092"/>
      <c r="X378" s="511">
        <v>1.8760000000000001</v>
      </c>
      <c r="Y378" s="864">
        <v>5.5249999999999995</v>
      </c>
      <c r="Z378" s="831">
        <v>81.73275</v>
      </c>
      <c r="AA378" s="866">
        <v>34.0553125</v>
      </c>
      <c r="AB378" s="826"/>
      <c r="AC378" s="939">
        <v>39</v>
      </c>
      <c r="AD378" s="826" t="s">
        <v>485</v>
      </c>
      <c r="AE378" s="826">
        <v>0</v>
      </c>
      <c r="AF378" s="804">
        <v>6022</v>
      </c>
    </row>
    <row r="379" spans="1:32" ht="28.5">
      <c r="A379" s="990">
        <v>6023</v>
      </c>
      <c r="B379" s="991"/>
      <c r="C379" s="991" t="s">
        <v>1215</v>
      </c>
      <c r="D379" s="1115">
        <v>2.3</v>
      </c>
      <c r="E379" s="1028">
        <v>23000</v>
      </c>
      <c r="F379" s="1041">
        <v>73</v>
      </c>
      <c r="G379" s="1116">
        <v>32</v>
      </c>
      <c r="H379" s="1096">
        <v>27</v>
      </c>
      <c r="I379" s="1096">
        <v>41</v>
      </c>
      <c r="J379" s="1117">
        <v>100</v>
      </c>
      <c r="K379" s="1118"/>
      <c r="L379" s="1251">
        <v>10</v>
      </c>
      <c r="M379" s="1117">
        <v>3000</v>
      </c>
      <c r="N379" s="1264">
        <v>0.25</v>
      </c>
      <c r="O379" s="815">
        <v>0.7</v>
      </c>
      <c r="P379" s="812">
        <v>32</v>
      </c>
      <c r="Q379" s="609">
        <v>0.067</v>
      </c>
      <c r="R379" s="610">
        <v>5347.666666666666</v>
      </c>
      <c r="S379" s="610">
        <v>637</v>
      </c>
      <c r="T379" s="1278">
        <v>2365.5</v>
      </c>
      <c r="U379" s="620">
        <v>20.355555555555554</v>
      </c>
      <c r="V379" s="1096">
        <v>5.366666666666666</v>
      </c>
      <c r="W379" s="1096"/>
      <c r="X379" s="620">
        <v>1.8760000000000001</v>
      </c>
      <c r="Y379" s="879">
        <v>5.366666666666666</v>
      </c>
      <c r="Z379" s="828">
        <v>73.42481666666667</v>
      </c>
      <c r="AA379" s="869">
        <v>31.923833333333338</v>
      </c>
      <c r="AB379" s="830"/>
      <c r="AC379" s="940">
        <v>46</v>
      </c>
      <c r="AD379" s="830" t="s">
        <v>485</v>
      </c>
      <c r="AE379" s="830">
        <v>0</v>
      </c>
      <c r="AF379" s="803">
        <v>6023</v>
      </c>
    </row>
    <row r="380" spans="1:32" ht="14.25">
      <c r="A380" s="154">
        <v>6024</v>
      </c>
      <c r="B380" s="992"/>
      <c r="C380" s="992" t="s">
        <v>997</v>
      </c>
      <c r="D380" s="1090">
        <v>2.1</v>
      </c>
      <c r="E380" s="504">
        <v>27000</v>
      </c>
      <c r="F380" s="509">
        <v>68</v>
      </c>
      <c r="G380" s="1091">
        <v>32</v>
      </c>
      <c r="H380" s="1092">
        <v>27</v>
      </c>
      <c r="I380" s="1092">
        <v>41</v>
      </c>
      <c r="J380" s="1093">
        <v>120</v>
      </c>
      <c r="K380" s="210"/>
      <c r="L380" s="492">
        <v>10</v>
      </c>
      <c r="M380" s="1093">
        <v>3000</v>
      </c>
      <c r="N380" s="500">
        <v>0.25</v>
      </c>
      <c r="O380" s="788">
        <v>0.6</v>
      </c>
      <c r="P380" s="492">
        <v>57</v>
      </c>
      <c r="Q380" s="507">
        <v>0.2</v>
      </c>
      <c r="R380" s="201">
        <v>9642.6</v>
      </c>
      <c r="S380" s="201">
        <v>735</v>
      </c>
      <c r="T380" s="1277">
        <v>2893.5</v>
      </c>
      <c r="U380" s="511">
        <v>44.2224</v>
      </c>
      <c r="V380" s="1092">
        <v>5.3999999999999995</v>
      </c>
      <c r="W380" s="1092"/>
      <c r="X380" s="511">
        <v>5.6000000000000005</v>
      </c>
      <c r="Y380" s="864">
        <v>5.3999999999999995</v>
      </c>
      <c r="Z380" s="831"/>
      <c r="AA380" s="866">
        <v>32.463750000000005</v>
      </c>
      <c r="AB380" s="826"/>
      <c r="AC380" s="939">
        <v>54</v>
      </c>
      <c r="AD380" s="826" t="s">
        <v>485</v>
      </c>
      <c r="AE380" s="826">
        <v>0</v>
      </c>
      <c r="AF380" s="804">
        <v>6024</v>
      </c>
    </row>
    <row r="381" spans="1:32" ht="14.25">
      <c r="A381" s="990">
        <v>6025</v>
      </c>
      <c r="B381" s="991"/>
      <c r="C381" s="991" t="s">
        <v>998</v>
      </c>
      <c r="D381" s="1115">
        <v>1.7</v>
      </c>
      <c r="E381" s="1028">
        <v>37000</v>
      </c>
      <c r="F381" s="1041">
        <v>60</v>
      </c>
      <c r="G381" s="1116">
        <v>35</v>
      </c>
      <c r="H381" s="1096">
        <v>29</v>
      </c>
      <c r="I381" s="1096">
        <v>45</v>
      </c>
      <c r="J381" s="1117">
        <v>150</v>
      </c>
      <c r="K381" s="1118"/>
      <c r="L381" s="1251">
        <v>10</v>
      </c>
      <c r="M381" s="1117">
        <v>3000</v>
      </c>
      <c r="N381" s="1264">
        <v>0.25</v>
      </c>
      <c r="O381" s="815">
        <v>0.5</v>
      </c>
      <c r="P381" s="812">
        <v>61</v>
      </c>
      <c r="Q381" s="495"/>
      <c r="R381" s="201" t="s">
        <v>413</v>
      </c>
      <c r="S381" s="499"/>
      <c r="T381" s="1278">
        <v>3862.5</v>
      </c>
      <c r="U381" s="495"/>
      <c r="V381" s="1096">
        <v>6.166666666666667</v>
      </c>
      <c r="W381" s="1096"/>
      <c r="X381" s="495"/>
      <c r="Y381" s="879">
        <v>6.166666666666667</v>
      </c>
      <c r="Z381" s="828"/>
      <c r="AA381" s="869">
        <v>35.108333333333334</v>
      </c>
      <c r="AB381" s="830"/>
      <c r="AC381" s="940">
        <v>74</v>
      </c>
      <c r="AD381" s="830" t="s">
        <v>485</v>
      </c>
      <c r="AE381" s="830">
        <v>0</v>
      </c>
      <c r="AF381" s="803">
        <v>6025</v>
      </c>
    </row>
    <row r="382" spans="1:32" ht="14.25">
      <c r="A382" s="154">
        <v>6026</v>
      </c>
      <c r="B382" s="992"/>
      <c r="C382" s="992" t="s">
        <v>999</v>
      </c>
      <c r="D382" s="1090">
        <v>1.6</v>
      </c>
      <c r="E382" s="504">
        <v>28000</v>
      </c>
      <c r="F382" s="509">
        <v>44</v>
      </c>
      <c r="G382" s="1091">
        <v>27</v>
      </c>
      <c r="H382" s="1092"/>
      <c r="I382" s="1092">
        <v>35</v>
      </c>
      <c r="J382" s="1093">
        <v>150</v>
      </c>
      <c r="K382" s="210"/>
      <c r="L382" s="492">
        <v>10</v>
      </c>
      <c r="M382" s="1093">
        <v>3500</v>
      </c>
      <c r="N382" s="500">
        <v>0.25</v>
      </c>
      <c r="O382" s="788">
        <v>0.55</v>
      </c>
      <c r="P382" s="492">
        <v>70</v>
      </c>
      <c r="Q382" s="626"/>
      <c r="R382" s="627" t="s">
        <v>413</v>
      </c>
      <c r="S382" s="627"/>
      <c r="T382" s="1277">
        <v>3066</v>
      </c>
      <c r="U382" s="637"/>
      <c r="V382" s="1092">
        <v>4.4</v>
      </c>
      <c r="W382" s="1092"/>
      <c r="X382" s="637"/>
      <c r="Y382" s="864">
        <v>4.4</v>
      </c>
      <c r="Z382" s="831"/>
      <c r="AA382" s="866">
        <v>27.324000000000005</v>
      </c>
      <c r="AB382" s="826"/>
      <c r="AC382" s="939">
        <v>56</v>
      </c>
      <c r="AD382" s="826" t="s">
        <v>485</v>
      </c>
      <c r="AE382" s="826">
        <v>0</v>
      </c>
      <c r="AF382" s="804">
        <v>6026</v>
      </c>
    </row>
    <row r="383" spans="1:32" ht="14.25">
      <c r="A383" s="990">
        <v>6027</v>
      </c>
      <c r="B383" s="991"/>
      <c r="C383" s="991" t="s">
        <v>1000</v>
      </c>
      <c r="D383" s="1115">
        <v>1.4</v>
      </c>
      <c r="E383" s="1028">
        <v>37000</v>
      </c>
      <c r="F383" s="1041">
        <v>34</v>
      </c>
      <c r="G383" s="1116">
        <v>24</v>
      </c>
      <c r="H383" s="1096"/>
      <c r="I383" s="1096">
        <v>31</v>
      </c>
      <c r="J383" s="1119">
        <v>250</v>
      </c>
      <c r="K383" s="1118"/>
      <c r="L383" s="1251">
        <v>10</v>
      </c>
      <c r="M383" s="1117">
        <v>4000</v>
      </c>
      <c r="N383" s="1264">
        <v>0.1</v>
      </c>
      <c r="O383" s="815">
        <v>0.4</v>
      </c>
      <c r="P383" s="812">
        <v>106</v>
      </c>
      <c r="Q383" s="507"/>
      <c r="R383" s="201" t="s">
        <v>413</v>
      </c>
      <c r="S383" s="201"/>
      <c r="T383" s="1278">
        <v>4632</v>
      </c>
      <c r="U383" s="511"/>
      <c r="V383" s="1096">
        <v>3.7</v>
      </c>
      <c r="W383" s="1096"/>
      <c r="X383" s="511"/>
      <c r="Y383" s="879">
        <v>3.7</v>
      </c>
      <c r="Z383" s="828"/>
      <c r="AA383" s="869">
        <v>24.4508</v>
      </c>
      <c r="AB383" s="830"/>
      <c r="AC383" s="940">
        <v>74</v>
      </c>
      <c r="AD383" s="830" t="s">
        <v>485</v>
      </c>
      <c r="AE383" s="830">
        <v>0</v>
      </c>
      <c r="AF383" s="803">
        <v>6027</v>
      </c>
    </row>
    <row r="384" spans="1:32" ht="14.25">
      <c r="A384" s="154">
        <v>6028</v>
      </c>
      <c r="B384" s="992"/>
      <c r="C384" s="992" t="s">
        <v>1001</v>
      </c>
      <c r="D384" s="1090">
        <v>1.3</v>
      </c>
      <c r="E384" s="504">
        <v>46000</v>
      </c>
      <c r="F384" s="509">
        <v>34</v>
      </c>
      <c r="G384" s="1091">
        <v>26</v>
      </c>
      <c r="H384" s="1092"/>
      <c r="I384" s="1092">
        <v>33</v>
      </c>
      <c r="J384" s="1093">
        <v>300</v>
      </c>
      <c r="K384" s="210"/>
      <c r="L384" s="492">
        <v>10</v>
      </c>
      <c r="M384" s="1093">
        <v>4000</v>
      </c>
      <c r="N384" s="500">
        <v>0.1</v>
      </c>
      <c r="O384" s="788">
        <v>0.4</v>
      </c>
      <c r="P384" s="492">
        <v>132</v>
      </c>
      <c r="Q384" s="603"/>
      <c r="R384" s="605" t="s">
        <v>413</v>
      </c>
      <c r="S384" s="606"/>
      <c r="T384" s="1277">
        <v>5760</v>
      </c>
      <c r="U384" s="604"/>
      <c r="V384" s="1092">
        <v>4.6000000000000005</v>
      </c>
      <c r="W384" s="1092"/>
      <c r="X384" s="604"/>
      <c r="Y384" s="864">
        <v>4.6000000000000005</v>
      </c>
      <c r="Z384" s="831"/>
      <c r="AA384" s="866">
        <v>26.180000000000003</v>
      </c>
      <c r="AB384" s="826"/>
      <c r="AC384" s="939">
        <v>92</v>
      </c>
      <c r="AD384" s="826" t="s">
        <v>485</v>
      </c>
      <c r="AE384" s="826">
        <v>0</v>
      </c>
      <c r="AF384" s="804">
        <v>6028</v>
      </c>
    </row>
    <row r="385" spans="1:32" ht="14.25">
      <c r="A385" s="990">
        <v>6029</v>
      </c>
      <c r="B385" s="991"/>
      <c r="C385" s="991" t="s">
        <v>1216</v>
      </c>
      <c r="D385" s="1115">
        <v>1.1</v>
      </c>
      <c r="E385" s="1028">
        <v>70000</v>
      </c>
      <c r="F385" s="1041">
        <v>30</v>
      </c>
      <c r="G385" s="1116">
        <v>28</v>
      </c>
      <c r="H385" s="1096">
        <v>23</v>
      </c>
      <c r="I385" s="1096">
        <v>35</v>
      </c>
      <c r="J385" s="1117">
        <v>350</v>
      </c>
      <c r="K385" s="1118"/>
      <c r="L385" s="1251">
        <v>10</v>
      </c>
      <c r="M385" s="1117">
        <v>6000</v>
      </c>
      <c r="N385" s="1264">
        <v>0.25</v>
      </c>
      <c r="O385" s="815">
        <v>0.4</v>
      </c>
      <c r="P385" s="812">
        <v>94</v>
      </c>
      <c r="Q385" s="507"/>
      <c r="R385" s="201" t="s">
        <v>413</v>
      </c>
      <c r="S385" s="201"/>
      <c r="T385" s="1278">
        <v>7179</v>
      </c>
      <c r="U385" s="511"/>
      <c r="V385" s="1096">
        <v>4.666666666666667</v>
      </c>
      <c r="W385" s="1096"/>
      <c r="X385" s="511"/>
      <c r="Y385" s="879">
        <v>4.666666666666667</v>
      </c>
      <c r="Z385" s="828"/>
      <c r="AA385" s="869">
        <v>27.695904761904764</v>
      </c>
      <c r="AB385" s="830"/>
      <c r="AC385" s="940">
        <v>140</v>
      </c>
      <c r="AD385" s="830" t="s">
        <v>485</v>
      </c>
      <c r="AE385" s="830">
        <v>0</v>
      </c>
      <c r="AF385" s="803">
        <v>6029</v>
      </c>
    </row>
    <row r="386" spans="1:32" ht="14.25">
      <c r="A386" s="154">
        <v>6030</v>
      </c>
      <c r="B386" s="992"/>
      <c r="C386" s="992" t="s">
        <v>1217</v>
      </c>
      <c r="D386" s="1090">
        <v>1</v>
      </c>
      <c r="E386" s="504">
        <v>75000</v>
      </c>
      <c r="F386" s="509">
        <v>30</v>
      </c>
      <c r="G386" s="1091">
        <v>30</v>
      </c>
      <c r="H386" s="1092">
        <v>25</v>
      </c>
      <c r="I386" s="1092">
        <v>38</v>
      </c>
      <c r="J386" s="1093">
        <v>400</v>
      </c>
      <c r="K386" s="210"/>
      <c r="L386" s="492">
        <v>10</v>
      </c>
      <c r="M386" s="1093">
        <v>6000</v>
      </c>
      <c r="N386" s="500">
        <v>0.1</v>
      </c>
      <c r="O386" s="788">
        <v>0.4</v>
      </c>
      <c r="P386" s="492">
        <v>107</v>
      </c>
      <c r="Q386" s="609">
        <v>0.1</v>
      </c>
      <c r="R386" s="610">
        <v>321.35999999999996</v>
      </c>
      <c r="S386" s="610">
        <v>112</v>
      </c>
      <c r="T386" s="1277">
        <v>8742</v>
      </c>
      <c r="U386" s="620">
        <v>7.352666666666666</v>
      </c>
      <c r="V386" s="1092">
        <v>5</v>
      </c>
      <c r="W386" s="1092"/>
      <c r="X386" s="620">
        <v>2.8000000000000003</v>
      </c>
      <c r="Y386" s="864">
        <v>5</v>
      </c>
      <c r="Z386" s="831"/>
      <c r="AA386" s="866">
        <v>29.5405</v>
      </c>
      <c r="AB386" s="826"/>
      <c r="AC386" s="939">
        <v>150</v>
      </c>
      <c r="AD386" s="826" t="s">
        <v>485</v>
      </c>
      <c r="AE386" s="826">
        <v>0</v>
      </c>
      <c r="AF386" s="804">
        <v>6030</v>
      </c>
    </row>
    <row r="387" spans="1:32" ht="14.25">
      <c r="A387" s="990">
        <v>6031</v>
      </c>
      <c r="B387" s="991"/>
      <c r="C387" s="993" t="s">
        <v>1218</v>
      </c>
      <c r="D387" s="1115">
        <v>0.8</v>
      </c>
      <c r="E387" s="1028">
        <v>107000</v>
      </c>
      <c r="F387" s="1041">
        <v>30</v>
      </c>
      <c r="G387" s="1116">
        <v>38</v>
      </c>
      <c r="H387" s="1096">
        <v>32</v>
      </c>
      <c r="I387" s="1096">
        <v>48</v>
      </c>
      <c r="J387" s="1117">
        <v>450</v>
      </c>
      <c r="K387" s="1118"/>
      <c r="L387" s="1251">
        <v>10</v>
      </c>
      <c r="M387" s="1117">
        <v>6000</v>
      </c>
      <c r="N387" s="1264">
        <v>0.1</v>
      </c>
      <c r="O387" s="815">
        <v>0.4</v>
      </c>
      <c r="P387" s="812">
        <v>120</v>
      </c>
      <c r="Q387" s="507">
        <v>0.1</v>
      </c>
      <c r="R387" s="201">
        <v>201.15</v>
      </c>
      <c r="S387" s="201"/>
      <c r="T387" s="1278">
        <v>12276</v>
      </c>
      <c r="U387" s="511">
        <v>5.16375</v>
      </c>
      <c r="V387" s="1096">
        <v>7.133333333333333</v>
      </c>
      <c r="W387" s="1096"/>
      <c r="X387" s="511">
        <v>2.8000000000000003</v>
      </c>
      <c r="Y387" s="879">
        <v>7.133333333333333</v>
      </c>
      <c r="Z387" s="828"/>
      <c r="AA387" s="869">
        <v>37.854666666666674</v>
      </c>
      <c r="AB387" s="830"/>
      <c r="AC387" s="940">
        <v>214</v>
      </c>
      <c r="AD387" s="830" t="s">
        <v>485</v>
      </c>
      <c r="AE387" s="830">
        <v>0</v>
      </c>
      <c r="AF387" s="803">
        <v>6031</v>
      </c>
    </row>
    <row r="388" spans="1:32" ht="14.25">
      <c r="A388" s="496"/>
      <c r="B388" s="761"/>
      <c r="C388" s="1002"/>
      <c r="D388" s="208"/>
      <c r="E388" s="203"/>
      <c r="F388" s="765"/>
      <c r="G388" s="1033"/>
      <c r="H388" s="520"/>
      <c r="I388" s="520"/>
      <c r="J388" s="770"/>
      <c r="K388" s="499"/>
      <c r="L388" s="495"/>
      <c r="M388" s="783"/>
      <c r="N388" s="500" t="s">
        <v>413</v>
      </c>
      <c r="O388" s="788" t="s">
        <v>413</v>
      </c>
      <c r="P388" s="811"/>
      <c r="Q388" s="609">
        <v>0.05</v>
      </c>
      <c r="R388" s="610">
        <v>382.8</v>
      </c>
      <c r="S388" s="610">
        <v>70</v>
      </c>
      <c r="T388" s="1279" t="s">
        <v>413</v>
      </c>
      <c r="U388" s="620">
        <v>5.7700000000000005</v>
      </c>
      <c r="V388" s="1286"/>
      <c r="W388" s="1284"/>
      <c r="X388" s="620">
        <v>1.4000000000000001</v>
      </c>
      <c r="Y388" s="823" t="s">
        <v>413</v>
      </c>
      <c r="Z388" s="834"/>
      <c r="AA388" s="880"/>
      <c r="AB388" s="811"/>
      <c r="AC388" s="941" t="s">
        <v>413</v>
      </c>
      <c r="AD388" s="835" t="s">
        <v>413</v>
      </c>
      <c r="AE388" s="835"/>
      <c r="AF388" s="802"/>
    </row>
    <row r="389" spans="1:32" ht="14.25">
      <c r="A389" s="987">
        <v>6040</v>
      </c>
      <c r="B389" s="988"/>
      <c r="C389" s="989" t="s">
        <v>647</v>
      </c>
      <c r="D389" s="1021"/>
      <c r="E389" s="1022"/>
      <c r="F389" s="1023"/>
      <c r="G389" s="1024"/>
      <c r="H389" s="1025"/>
      <c r="I389" s="1025"/>
      <c r="J389" s="1026"/>
      <c r="K389" s="1026"/>
      <c r="L389" s="1021"/>
      <c r="M389" s="1026"/>
      <c r="N389" s="1263" t="s">
        <v>413</v>
      </c>
      <c r="O389" s="816" t="s">
        <v>413</v>
      </c>
      <c r="P389" s="809"/>
      <c r="Q389" s="507">
        <v>0.05</v>
      </c>
      <c r="R389" s="201">
        <v>539.4</v>
      </c>
      <c r="S389" s="201">
        <v>119</v>
      </c>
      <c r="T389" s="1276" t="s">
        <v>413</v>
      </c>
      <c r="U389" s="511">
        <v>6.707999999999999</v>
      </c>
      <c r="V389" s="1025"/>
      <c r="W389" s="1025"/>
      <c r="X389" s="511">
        <v>1.4000000000000001</v>
      </c>
      <c r="Y389" s="833" t="s">
        <v>413</v>
      </c>
      <c r="Z389" s="820"/>
      <c r="AA389" s="821"/>
      <c r="AB389" s="822"/>
      <c r="AC389" s="938" t="s">
        <v>413</v>
      </c>
      <c r="AD389" s="822" t="s">
        <v>413</v>
      </c>
      <c r="AE389" s="822"/>
      <c r="AF389" s="801">
        <v>6040</v>
      </c>
    </row>
    <row r="390" spans="1:32" ht="14.25">
      <c r="A390" s="496"/>
      <c r="B390" s="761"/>
      <c r="C390" s="761"/>
      <c r="D390" s="208"/>
      <c r="E390" s="203"/>
      <c r="F390" s="765"/>
      <c r="G390" s="1033"/>
      <c r="H390" s="520"/>
      <c r="I390" s="520"/>
      <c r="J390" s="770"/>
      <c r="K390" s="499"/>
      <c r="L390" s="495"/>
      <c r="M390" s="770"/>
      <c r="N390" s="500" t="s">
        <v>413</v>
      </c>
      <c r="O390" s="788" t="s">
        <v>413</v>
      </c>
      <c r="P390" s="811"/>
      <c r="Q390" s="609">
        <v>0.05</v>
      </c>
      <c r="R390" s="610">
        <v>1609.5</v>
      </c>
      <c r="S390" s="610">
        <v>196</v>
      </c>
      <c r="T390" s="1279" t="s">
        <v>413</v>
      </c>
      <c r="U390" s="620">
        <v>15.354166666666666</v>
      </c>
      <c r="V390" s="1286"/>
      <c r="W390" s="1284"/>
      <c r="X390" s="620">
        <v>1.4000000000000001</v>
      </c>
      <c r="Y390" s="823" t="s">
        <v>413</v>
      </c>
      <c r="Z390" s="834"/>
      <c r="AA390" s="880"/>
      <c r="AB390" s="811"/>
      <c r="AC390" s="941" t="s">
        <v>413</v>
      </c>
      <c r="AD390" s="835" t="s">
        <v>413</v>
      </c>
      <c r="AE390" s="835"/>
      <c r="AF390" s="802"/>
    </row>
    <row r="391" spans="1:32" ht="14.25">
      <c r="A391" s="990">
        <v>6041</v>
      </c>
      <c r="B391" s="991"/>
      <c r="C391" s="991" t="s">
        <v>648</v>
      </c>
      <c r="D391" s="1120">
        <v>13</v>
      </c>
      <c r="E391" s="1028">
        <v>15000</v>
      </c>
      <c r="F391" s="1035">
        <v>28</v>
      </c>
      <c r="G391" s="1121">
        <v>2.2</v>
      </c>
      <c r="H391" s="613">
        <v>24</v>
      </c>
      <c r="I391" s="613">
        <v>36</v>
      </c>
      <c r="J391" s="1031">
        <v>60</v>
      </c>
      <c r="K391" s="1032" t="s">
        <v>347</v>
      </c>
      <c r="L391" s="1251">
        <v>15</v>
      </c>
      <c r="M391" s="1232">
        <v>2000</v>
      </c>
      <c r="N391" s="1264">
        <v>0.25</v>
      </c>
      <c r="O391" s="815">
        <v>0.7</v>
      </c>
      <c r="P391" s="812">
        <v>30</v>
      </c>
      <c r="Q391" s="507">
        <v>0.05</v>
      </c>
      <c r="R391" s="201">
        <v>304.5</v>
      </c>
      <c r="S391" s="201">
        <v>112</v>
      </c>
      <c r="T391" s="1278">
        <v>1222.5</v>
      </c>
      <c r="U391" s="511">
        <v>14.116666666666667</v>
      </c>
      <c r="V391" s="613">
        <v>5.25</v>
      </c>
      <c r="W391" s="613"/>
      <c r="X391" s="511">
        <v>1.4000000000000001</v>
      </c>
      <c r="Y391" s="827">
        <v>5.25</v>
      </c>
      <c r="Z391" s="828">
        <v>28.187500000000004</v>
      </c>
      <c r="AA391" s="881">
        <v>2.168269230769231</v>
      </c>
      <c r="AB391" s="830"/>
      <c r="AC391" s="940">
        <v>30</v>
      </c>
      <c r="AD391" s="830" t="s">
        <v>483</v>
      </c>
      <c r="AE391" s="830">
        <v>0</v>
      </c>
      <c r="AF391" s="803">
        <v>6041</v>
      </c>
    </row>
    <row r="392" spans="1:32" ht="14.25">
      <c r="A392" s="154">
        <v>6042</v>
      </c>
      <c r="B392" s="992"/>
      <c r="C392" s="992" t="s">
        <v>649</v>
      </c>
      <c r="D392" s="525">
        <v>13</v>
      </c>
      <c r="E392" s="504">
        <v>26000</v>
      </c>
      <c r="F392" s="612">
        <v>40</v>
      </c>
      <c r="G392" s="1122">
        <v>3.1</v>
      </c>
      <c r="H392" s="506">
        <v>33</v>
      </c>
      <c r="I392" s="506">
        <v>51</v>
      </c>
      <c r="J392" s="764">
        <v>80</v>
      </c>
      <c r="K392" s="145" t="s">
        <v>347</v>
      </c>
      <c r="L392" s="492">
        <v>15</v>
      </c>
      <c r="M392" s="780">
        <v>2000</v>
      </c>
      <c r="N392" s="500">
        <v>0.1</v>
      </c>
      <c r="O392" s="788">
        <v>0.5</v>
      </c>
      <c r="P392" s="492">
        <v>57</v>
      </c>
      <c r="Q392" s="507"/>
      <c r="R392" s="201" t="s">
        <v>413</v>
      </c>
      <c r="S392" s="201"/>
      <c r="T392" s="1277">
        <v>2370</v>
      </c>
      <c r="U392" s="511"/>
      <c r="V392" s="506">
        <v>6.5</v>
      </c>
      <c r="W392" s="506"/>
      <c r="X392" s="511"/>
      <c r="Y392" s="823">
        <v>6.5</v>
      </c>
      <c r="Z392" s="831">
        <v>39.737500000000004</v>
      </c>
      <c r="AA392" s="882">
        <v>3.0567307692307697</v>
      </c>
      <c r="AB392" s="826"/>
      <c r="AC392" s="939">
        <v>52</v>
      </c>
      <c r="AD392" s="826" t="s">
        <v>483</v>
      </c>
      <c r="AE392" s="826">
        <v>0</v>
      </c>
      <c r="AF392" s="804">
        <v>6042</v>
      </c>
    </row>
    <row r="393" spans="1:32" ht="14.25">
      <c r="A393" s="990">
        <v>6043</v>
      </c>
      <c r="B393" s="991"/>
      <c r="C393" s="991" t="s">
        <v>650</v>
      </c>
      <c r="D393" s="1120">
        <v>13</v>
      </c>
      <c r="E393" s="1028">
        <v>28000</v>
      </c>
      <c r="F393" s="1035">
        <v>53</v>
      </c>
      <c r="G393" s="1121">
        <v>4.1</v>
      </c>
      <c r="H393" s="613">
        <v>44</v>
      </c>
      <c r="I393" s="613">
        <v>67</v>
      </c>
      <c r="J393" s="1031">
        <v>60</v>
      </c>
      <c r="K393" s="1032" t="s">
        <v>347</v>
      </c>
      <c r="L393" s="1251">
        <v>15</v>
      </c>
      <c r="M393" s="1232">
        <v>2000</v>
      </c>
      <c r="N393" s="1264">
        <v>0.25</v>
      </c>
      <c r="O393" s="815">
        <v>0.7</v>
      </c>
      <c r="P393" s="812">
        <v>57</v>
      </c>
      <c r="Q393" s="603"/>
      <c r="R393" s="605" t="s">
        <v>413</v>
      </c>
      <c r="S393" s="606"/>
      <c r="T393" s="1278">
        <v>2288</v>
      </c>
      <c r="U393" s="604"/>
      <c r="V393" s="613">
        <v>9.799999999999999</v>
      </c>
      <c r="W393" s="613"/>
      <c r="X393" s="604"/>
      <c r="Y393" s="827">
        <v>9.799999999999999</v>
      </c>
      <c r="Z393" s="828">
        <v>52.72666666666667</v>
      </c>
      <c r="AA393" s="881">
        <v>4.055897435897436</v>
      </c>
      <c r="AB393" s="830"/>
      <c r="AC393" s="940">
        <v>56</v>
      </c>
      <c r="AD393" s="830" t="s">
        <v>483</v>
      </c>
      <c r="AE393" s="830">
        <v>0</v>
      </c>
      <c r="AF393" s="803">
        <v>6043</v>
      </c>
    </row>
    <row r="394" spans="1:32" ht="14.25">
      <c r="A394" s="496"/>
      <c r="B394" s="761"/>
      <c r="C394" s="1009"/>
      <c r="D394" s="499"/>
      <c r="E394" s="203"/>
      <c r="F394" s="499"/>
      <c r="G394" s="495"/>
      <c r="H394" s="495"/>
      <c r="I394" s="495"/>
      <c r="J394" s="499"/>
      <c r="K394" s="499"/>
      <c r="L394" s="495"/>
      <c r="M394" s="499"/>
      <c r="N394" s="500" t="s">
        <v>413</v>
      </c>
      <c r="O394" s="788" t="s">
        <v>413</v>
      </c>
      <c r="P394" s="811"/>
      <c r="Q394" s="495"/>
      <c r="R394" s="201" t="s">
        <v>413</v>
      </c>
      <c r="S394" s="499"/>
      <c r="T394" s="1279" t="s">
        <v>413</v>
      </c>
      <c r="U394" s="495"/>
      <c r="V394" s="499"/>
      <c r="W394" s="499"/>
      <c r="X394" s="495"/>
      <c r="Y394" s="823" t="s">
        <v>413</v>
      </c>
      <c r="Z394" s="832"/>
      <c r="AA394" s="832"/>
      <c r="AB394" s="811"/>
      <c r="AC394" s="941" t="s">
        <v>413</v>
      </c>
      <c r="AD394" s="835" t="s">
        <v>413</v>
      </c>
      <c r="AE394" s="835"/>
      <c r="AF394" s="802"/>
    </row>
    <row r="395" spans="1:32" ht="14.25">
      <c r="A395" s="987">
        <v>6050</v>
      </c>
      <c r="B395" s="988"/>
      <c r="C395" s="989" t="s">
        <v>651</v>
      </c>
      <c r="D395" s="1021"/>
      <c r="E395" s="1022"/>
      <c r="F395" s="1023"/>
      <c r="G395" s="1024"/>
      <c r="H395" s="1025"/>
      <c r="I395" s="1025"/>
      <c r="J395" s="1026"/>
      <c r="K395" s="1026"/>
      <c r="L395" s="1021"/>
      <c r="M395" s="1026"/>
      <c r="N395" s="1263" t="s">
        <v>413</v>
      </c>
      <c r="O395" s="816" t="s">
        <v>413</v>
      </c>
      <c r="P395" s="809"/>
      <c r="Q395" s="609">
        <v>0.125</v>
      </c>
      <c r="R395" s="610">
        <v>1442.75</v>
      </c>
      <c r="S395" s="610">
        <v>217</v>
      </c>
      <c r="T395" s="1276" t="s">
        <v>413</v>
      </c>
      <c r="U395" s="632">
        <v>21.109375</v>
      </c>
      <c r="V395" s="1025"/>
      <c r="W395" s="1025"/>
      <c r="X395" s="633">
        <v>3.5</v>
      </c>
      <c r="Y395" s="833" t="s">
        <v>413</v>
      </c>
      <c r="Z395" s="820"/>
      <c r="AA395" s="821"/>
      <c r="AB395" s="822"/>
      <c r="AC395" s="938" t="s">
        <v>413</v>
      </c>
      <c r="AD395" s="822" t="s">
        <v>413</v>
      </c>
      <c r="AE395" s="822"/>
      <c r="AF395" s="801">
        <v>6050</v>
      </c>
    </row>
    <row r="396" spans="1:32" ht="14.25">
      <c r="A396" s="496"/>
      <c r="B396" s="761"/>
      <c r="C396" s="761"/>
      <c r="D396" s="208"/>
      <c r="E396" s="203"/>
      <c r="F396" s="765"/>
      <c r="G396" s="1053"/>
      <c r="H396" s="506"/>
      <c r="I396" s="506"/>
      <c r="J396" s="764"/>
      <c r="K396" s="499"/>
      <c r="L396" s="495"/>
      <c r="M396" s="780"/>
      <c r="N396" s="500" t="s">
        <v>413</v>
      </c>
      <c r="O396" s="788" t="s">
        <v>413</v>
      </c>
      <c r="P396" s="811"/>
      <c r="Q396" s="507">
        <v>0.125</v>
      </c>
      <c r="R396" s="201">
        <v>1791</v>
      </c>
      <c r="S396" s="201">
        <v>224</v>
      </c>
      <c r="T396" s="1279" t="s">
        <v>413</v>
      </c>
      <c r="U396" s="518">
        <v>25.6375</v>
      </c>
      <c r="V396" s="1284"/>
      <c r="W396" s="1284"/>
      <c r="X396" s="520">
        <v>3.5</v>
      </c>
      <c r="Y396" s="823" t="s">
        <v>413</v>
      </c>
      <c r="Z396" s="834"/>
      <c r="AA396" s="880"/>
      <c r="AB396" s="811"/>
      <c r="AC396" s="941" t="s">
        <v>413</v>
      </c>
      <c r="AD396" s="835" t="s">
        <v>413</v>
      </c>
      <c r="AE396" s="835"/>
      <c r="AF396" s="802"/>
    </row>
    <row r="397" spans="1:32" ht="14.25">
      <c r="A397" s="990">
        <v>6051</v>
      </c>
      <c r="B397" s="991"/>
      <c r="C397" s="991" t="s">
        <v>652</v>
      </c>
      <c r="D397" s="1120">
        <v>6</v>
      </c>
      <c r="E397" s="1028">
        <v>12000</v>
      </c>
      <c r="F397" s="1041">
        <v>13</v>
      </c>
      <c r="G397" s="1123">
        <v>2.2</v>
      </c>
      <c r="H397" s="638">
        <v>1.9</v>
      </c>
      <c r="I397" s="638">
        <v>2.8</v>
      </c>
      <c r="J397" s="1124">
        <v>800</v>
      </c>
      <c r="K397" s="1032" t="s">
        <v>347</v>
      </c>
      <c r="L397" s="1251">
        <v>12</v>
      </c>
      <c r="M397" s="1165">
        <v>28000</v>
      </c>
      <c r="N397" s="1264">
        <v>0.25</v>
      </c>
      <c r="O397" s="815">
        <v>1.15</v>
      </c>
      <c r="P397" s="812">
        <v>37</v>
      </c>
      <c r="Q397" s="609">
        <v>0.125</v>
      </c>
      <c r="R397" s="610">
        <v>2189</v>
      </c>
      <c r="S397" s="610">
        <v>224</v>
      </c>
      <c r="T397" s="1278">
        <v>1206</v>
      </c>
      <c r="U397" s="632">
        <v>24.57</v>
      </c>
      <c r="V397" s="638">
        <v>0.49285714285714277</v>
      </c>
      <c r="W397" s="613"/>
      <c r="X397" s="633">
        <v>3.5</v>
      </c>
      <c r="Y397" s="883">
        <v>0.49285714285714277</v>
      </c>
      <c r="Z397" s="828">
        <v>13.202357142857142</v>
      </c>
      <c r="AA397" s="881">
        <v>2.200392857142857</v>
      </c>
      <c r="AB397" s="830">
        <v>2</v>
      </c>
      <c r="AC397" s="940">
        <v>24</v>
      </c>
      <c r="AD397" s="830" t="s">
        <v>176</v>
      </c>
      <c r="AE397" s="830">
        <v>0</v>
      </c>
      <c r="AF397" s="803">
        <v>6051</v>
      </c>
    </row>
    <row r="398" spans="1:32" ht="14.25">
      <c r="A398" s="154">
        <v>6052</v>
      </c>
      <c r="B398" s="992"/>
      <c r="C398" s="992" t="s">
        <v>1514</v>
      </c>
      <c r="D398" s="525">
        <v>15</v>
      </c>
      <c r="E398" s="504">
        <v>18000</v>
      </c>
      <c r="F398" s="509">
        <v>38</v>
      </c>
      <c r="G398" s="1125">
        <v>2.5</v>
      </c>
      <c r="H398" s="526">
        <v>2.1</v>
      </c>
      <c r="I398" s="526">
        <v>3.2</v>
      </c>
      <c r="J398" s="771">
        <v>1000</v>
      </c>
      <c r="K398" s="145" t="s">
        <v>347</v>
      </c>
      <c r="L398" s="492">
        <v>12</v>
      </c>
      <c r="M398" s="784">
        <v>22000</v>
      </c>
      <c r="N398" s="500">
        <v>0.25</v>
      </c>
      <c r="O398" s="788">
        <v>0.65</v>
      </c>
      <c r="P398" s="492">
        <v>47</v>
      </c>
      <c r="Q398" s="507">
        <v>0.125</v>
      </c>
      <c r="R398" s="201">
        <v>2686.5</v>
      </c>
      <c r="S398" s="201">
        <v>399</v>
      </c>
      <c r="T398" s="1277">
        <v>1758</v>
      </c>
      <c r="U398" s="518">
        <v>26.1625</v>
      </c>
      <c r="V398" s="526">
        <v>0.5318181818181819</v>
      </c>
      <c r="W398" s="506"/>
      <c r="X398" s="520">
        <v>3.5</v>
      </c>
      <c r="Y398" s="884">
        <v>0.5318181818181819</v>
      </c>
      <c r="Z398" s="831">
        <v>37.782000000000004</v>
      </c>
      <c r="AA398" s="882">
        <v>2.5188</v>
      </c>
      <c r="AB398" s="826">
        <v>3</v>
      </c>
      <c r="AC398" s="939">
        <v>36</v>
      </c>
      <c r="AD398" s="826" t="s">
        <v>176</v>
      </c>
      <c r="AE398" s="826">
        <v>0</v>
      </c>
      <c r="AF398" s="804">
        <v>6052</v>
      </c>
    </row>
    <row r="399" spans="1:32" ht="14.25">
      <c r="A399" s="990">
        <v>6053</v>
      </c>
      <c r="B399" s="991"/>
      <c r="C399" s="991" t="s">
        <v>1515</v>
      </c>
      <c r="D399" s="1120">
        <v>18</v>
      </c>
      <c r="E399" s="1028">
        <v>19000</v>
      </c>
      <c r="F399" s="1041">
        <v>37</v>
      </c>
      <c r="G399" s="1123">
        <v>2.1</v>
      </c>
      <c r="H399" s="638">
        <v>1.7</v>
      </c>
      <c r="I399" s="638">
        <v>2.6</v>
      </c>
      <c r="J399" s="1124">
        <v>1300</v>
      </c>
      <c r="K399" s="1032" t="s">
        <v>347</v>
      </c>
      <c r="L399" s="1251">
        <v>12</v>
      </c>
      <c r="M399" s="1165">
        <v>30000</v>
      </c>
      <c r="N399" s="1264">
        <v>0.25</v>
      </c>
      <c r="O399" s="815">
        <v>0.65</v>
      </c>
      <c r="P399" s="812">
        <v>58</v>
      </c>
      <c r="Q399" s="609">
        <v>0.125</v>
      </c>
      <c r="R399" s="610">
        <v>3383</v>
      </c>
      <c r="S399" s="610">
        <v>427</v>
      </c>
      <c r="T399" s="1278">
        <v>1906</v>
      </c>
      <c r="U399" s="632">
        <v>25.85333333333333</v>
      </c>
      <c r="V399" s="638">
        <v>0.4116666666666667</v>
      </c>
      <c r="W399" s="613"/>
      <c r="X399" s="633">
        <v>3.5</v>
      </c>
      <c r="Y399" s="883">
        <v>0.4116666666666667</v>
      </c>
      <c r="Z399" s="828">
        <v>37.18084615384616</v>
      </c>
      <c r="AA399" s="881">
        <v>2.0656025641025644</v>
      </c>
      <c r="AB399" s="830">
        <v>4</v>
      </c>
      <c r="AC399" s="940">
        <v>38</v>
      </c>
      <c r="AD399" s="830" t="s">
        <v>176</v>
      </c>
      <c r="AE399" s="830">
        <v>0</v>
      </c>
      <c r="AF399" s="803">
        <v>6053</v>
      </c>
    </row>
    <row r="400" spans="1:32" ht="14.25">
      <c r="A400" s="154">
        <v>6054</v>
      </c>
      <c r="B400" s="992"/>
      <c r="C400" s="992" t="s">
        <v>1516</v>
      </c>
      <c r="D400" s="525">
        <v>19.8</v>
      </c>
      <c r="E400" s="504">
        <v>23000</v>
      </c>
      <c r="F400" s="509">
        <v>37</v>
      </c>
      <c r="G400" s="1125">
        <v>1.9</v>
      </c>
      <c r="H400" s="526">
        <v>1.6</v>
      </c>
      <c r="I400" s="526">
        <v>2.4</v>
      </c>
      <c r="J400" s="771">
        <v>1700</v>
      </c>
      <c r="K400" s="145" t="s">
        <v>347</v>
      </c>
      <c r="L400" s="492">
        <v>12</v>
      </c>
      <c r="M400" s="784">
        <v>36000</v>
      </c>
      <c r="N400" s="500">
        <v>0.25</v>
      </c>
      <c r="O400" s="788">
        <v>0.6</v>
      </c>
      <c r="P400" s="492">
        <v>64</v>
      </c>
      <c r="Q400" s="519">
        <v>0.125</v>
      </c>
      <c r="R400" s="201">
        <v>2089.5</v>
      </c>
      <c r="S400" s="201">
        <v>490</v>
      </c>
      <c r="T400" s="1277">
        <v>2270</v>
      </c>
      <c r="U400" s="518">
        <v>17.476666666666667</v>
      </c>
      <c r="V400" s="526">
        <v>0.3833333333333333</v>
      </c>
      <c r="W400" s="506"/>
      <c r="X400" s="520">
        <v>3.5</v>
      </c>
      <c r="Y400" s="884">
        <v>0.3833333333333333</v>
      </c>
      <c r="Z400" s="831">
        <v>37.431705882352944</v>
      </c>
      <c r="AA400" s="882">
        <v>1.8904901960784315</v>
      </c>
      <c r="AB400" s="826">
        <v>5</v>
      </c>
      <c r="AC400" s="939">
        <v>46</v>
      </c>
      <c r="AD400" s="826" t="s">
        <v>176</v>
      </c>
      <c r="AE400" s="826">
        <v>0</v>
      </c>
      <c r="AF400" s="804">
        <v>6054</v>
      </c>
    </row>
    <row r="401" spans="1:32" ht="14.25">
      <c r="A401" s="990">
        <v>6055</v>
      </c>
      <c r="B401" s="991"/>
      <c r="C401" s="991" t="s">
        <v>1517</v>
      </c>
      <c r="D401" s="1120">
        <v>22.2</v>
      </c>
      <c r="E401" s="1028">
        <v>26000</v>
      </c>
      <c r="F401" s="1041">
        <v>37</v>
      </c>
      <c r="G401" s="1123">
        <v>1.7</v>
      </c>
      <c r="H401" s="638">
        <v>1.4</v>
      </c>
      <c r="I401" s="638">
        <v>2.1</v>
      </c>
      <c r="J401" s="1124">
        <v>2200</v>
      </c>
      <c r="K401" s="1032" t="s">
        <v>347</v>
      </c>
      <c r="L401" s="1251">
        <v>12</v>
      </c>
      <c r="M401" s="1165">
        <v>50000</v>
      </c>
      <c r="N401" s="1264">
        <v>0.25</v>
      </c>
      <c r="O401" s="815">
        <v>0.7</v>
      </c>
      <c r="P401" s="812">
        <v>70</v>
      </c>
      <c r="Q401" s="630">
        <v>0.05</v>
      </c>
      <c r="R401" s="610">
        <v>3821.6</v>
      </c>
      <c r="S401" s="610">
        <v>742</v>
      </c>
      <c r="T401" s="1278">
        <v>2552</v>
      </c>
      <c r="U401" s="632">
        <v>15.438666666666668</v>
      </c>
      <c r="V401" s="638">
        <v>0.364</v>
      </c>
      <c r="W401" s="613"/>
      <c r="X401" s="633">
        <v>1.4000000000000001</v>
      </c>
      <c r="Y401" s="883">
        <v>0.364</v>
      </c>
      <c r="Z401" s="828">
        <v>37.21608</v>
      </c>
      <c r="AA401" s="881">
        <v>1.6764000000000001</v>
      </c>
      <c r="AB401" s="830">
        <v>6</v>
      </c>
      <c r="AC401" s="940">
        <v>52</v>
      </c>
      <c r="AD401" s="830" t="s">
        <v>176</v>
      </c>
      <c r="AE401" s="830">
        <v>0</v>
      </c>
      <c r="AF401" s="803">
        <v>6055</v>
      </c>
    </row>
    <row r="402" spans="1:32" ht="14.25">
      <c r="A402" s="154">
        <v>6056</v>
      </c>
      <c r="B402" s="992"/>
      <c r="C402" s="992" t="s">
        <v>1518</v>
      </c>
      <c r="D402" s="525">
        <v>25.8</v>
      </c>
      <c r="E402" s="504">
        <v>35000</v>
      </c>
      <c r="F402" s="509">
        <v>42</v>
      </c>
      <c r="G402" s="1125">
        <v>1.6</v>
      </c>
      <c r="H402" s="526">
        <v>1.4</v>
      </c>
      <c r="I402" s="526">
        <v>2</v>
      </c>
      <c r="J402" s="771">
        <v>3000</v>
      </c>
      <c r="K402" s="145" t="s">
        <v>347</v>
      </c>
      <c r="L402" s="492">
        <v>12</v>
      </c>
      <c r="M402" s="784">
        <v>75000</v>
      </c>
      <c r="N402" s="500">
        <v>0.25</v>
      </c>
      <c r="O402" s="788">
        <v>0.8</v>
      </c>
      <c r="P402" s="492">
        <v>77</v>
      </c>
      <c r="Q402" s="519">
        <v>0.05</v>
      </c>
      <c r="R402" s="201">
        <v>4945.6</v>
      </c>
      <c r="S402" s="201">
        <v>924</v>
      </c>
      <c r="T402" s="1277">
        <v>3332</v>
      </c>
      <c r="U402" s="518">
        <v>19.858666666666668</v>
      </c>
      <c r="V402" s="526">
        <v>0.37333333333333335</v>
      </c>
      <c r="W402" s="506"/>
      <c r="X402" s="520">
        <v>1.4000000000000001</v>
      </c>
      <c r="Y402" s="884">
        <v>0.37333333333333335</v>
      </c>
      <c r="Z402" s="831">
        <v>42.11592</v>
      </c>
      <c r="AA402" s="882">
        <v>1.6324</v>
      </c>
      <c r="AB402" s="826">
        <v>8</v>
      </c>
      <c r="AC402" s="939">
        <v>70</v>
      </c>
      <c r="AD402" s="826" t="s">
        <v>176</v>
      </c>
      <c r="AE402" s="826">
        <v>0</v>
      </c>
      <c r="AF402" s="804">
        <v>6056</v>
      </c>
    </row>
    <row r="403" spans="1:32" ht="14.25">
      <c r="A403" s="990">
        <v>6057</v>
      </c>
      <c r="B403" s="991"/>
      <c r="C403" s="991" t="s">
        <v>1519</v>
      </c>
      <c r="D403" s="1120">
        <v>28.5</v>
      </c>
      <c r="E403" s="1028">
        <v>42000</v>
      </c>
      <c r="F403" s="1041">
        <v>43</v>
      </c>
      <c r="G403" s="1123">
        <v>1.5</v>
      </c>
      <c r="H403" s="638">
        <v>1.3</v>
      </c>
      <c r="I403" s="638">
        <v>1.9</v>
      </c>
      <c r="J403" s="1124">
        <v>4000</v>
      </c>
      <c r="K403" s="1032" t="s">
        <v>347</v>
      </c>
      <c r="L403" s="1251">
        <v>12</v>
      </c>
      <c r="M403" s="1165">
        <v>95000</v>
      </c>
      <c r="N403" s="1264">
        <v>0.25</v>
      </c>
      <c r="O403" s="815">
        <v>0.8</v>
      </c>
      <c r="P403" s="812">
        <v>95</v>
      </c>
      <c r="Q403" s="630">
        <v>0.05</v>
      </c>
      <c r="R403" s="610">
        <v>6865.5</v>
      </c>
      <c r="S403" s="610">
        <v>658</v>
      </c>
      <c r="T403" s="1278">
        <v>4014</v>
      </c>
      <c r="U403" s="632">
        <v>21.89</v>
      </c>
      <c r="V403" s="638">
        <v>0.3536842105263158</v>
      </c>
      <c r="W403" s="613"/>
      <c r="X403" s="633">
        <v>1.4000000000000001</v>
      </c>
      <c r="Y403" s="883">
        <v>0.3536842105263158</v>
      </c>
      <c r="Z403" s="828">
        <v>42.54772500000001</v>
      </c>
      <c r="AA403" s="881">
        <v>1.4929026315789475</v>
      </c>
      <c r="AB403" s="830">
        <v>10</v>
      </c>
      <c r="AC403" s="940">
        <v>84</v>
      </c>
      <c r="AD403" s="830" t="s">
        <v>176</v>
      </c>
      <c r="AE403" s="830">
        <v>0</v>
      </c>
      <c r="AF403" s="803">
        <v>6057</v>
      </c>
    </row>
    <row r="404" spans="1:32" ht="14.25">
      <c r="A404" s="154">
        <v>6058</v>
      </c>
      <c r="B404" s="992"/>
      <c r="C404" s="992" t="s">
        <v>1520</v>
      </c>
      <c r="D404" s="525">
        <v>30.6</v>
      </c>
      <c r="E404" s="504">
        <v>48000</v>
      </c>
      <c r="F404" s="509">
        <v>43</v>
      </c>
      <c r="G404" s="1125">
        <v>1.4</v>
      </c>
      <c r="H404" s="526">
        <v>1.2</v>
      </c>
      <c r="I404" s="526">
        <v>1.8</v>
      </c>
      <c r="J404" s="771">
        <v>4800</v>
      </c>
      <c r="K404" s="145" t="s">
        <v>347</v>
      </c>
      <c r="L404" s="492">
        <v>12</v>
      </c>
      <c r="M404" s="784">
        <v>115000</v>
      </c>
      <c r="N404" s="500">
        <v>0.25</v>
      </c>
      <c r="O404" s="788">
        <v>0.8</v>
      </c>
      <c r="P404" s="492">
        <v>104</v>
      </c>
      <c r="Q404" s="519">
        <v>0.05</v>
      </c>
      <c r="R404" s="201">
        <v>8317.6</v>
      </c>
      <c r="S404" s="201">
        <v>749</v>
      </c>
      <c r="T404" s="1277">
        <v>4560</v>
      </c>
      <c r="U404" s="518">
        <v>23.0365</v>
      </c>
      <c r="V404" s="526">
        <v>0.3339130434782609</v>
      </c>
      <c r="W404" s="506"/>
      <c r="X404" s="520">
        <v>1.4000000000000001</v>
      </c>
      <c r="Y404" s="884">
        <v>0.3339130434782609</v>
      </c>
      <c r="Z404" s="831">
        <v>43.216513043478265</v>
      </c>
      <c r="AA404" s="882">
        <v>1.412304347826087</v>
      </c>
      <c r="AB404" s="826">
        <v>12</v>
      </c>
      <c r="AC404" s="939">
        <v>96</v>
      </c>
      <c r="AD404" s="826" t="s">
        <v>176</v>
      </c>
      <c r="AE404" s="826">
        <v>0</v>
      </c>
      <c r="AF404" s="804">
        <v>6058</v>
      </c>
    </row>
    <row r="405" spans="1:32" ht="14.25">
      <c r="A405" s="990">
        <v>6059</v>
      </c>
      <c r="B405" s="991"/>
      <c r="C405" s="993" t="s">
        <v>653</v>
      </c>
      <c r="D405" s="1120">
        <v>25</v>
      </c>
      <c r="E405" s="1028">
        <v>3800</v>
      </c>
      <c r="F405" s="1041">
        <v>13</v>
      </c>
      <c r="G405" s="1123">
        <v>0.5</v>
      </c>
      <c r="H405" s="638">
        <v>0.5</v>
      </c>
      <c r="I405" s="638">
        <v>0.6</v>
      </c>
      <c r="J405" s="1124">
        <v>3000</v>
      </c>
      <c r="K405" s="1032" t="s">
        <v>347</v>
      </c>
      <c r="L405" s="1251">
        <v>12</v>
      </c>
      <c r="M405" s="1165">
        <v>50000</v>
      </c>
      <c r="N405" s="1264">
        <v>0.1</v>
      </c>
      <c r="O405" s="815">
        <v>4.65</v>
      </c>
      <c r="P405" s="812"/>
      <c r="Q405" s="630">
        <v>0.05</v>
      </c>
      <c r="R405" s="610">
        <v>11127.6</v>
      </c>
      <c r="S405" s="610">
        <v>840</v>
      </c>
      <c r="T405" s="1278">
        <v>353.40000000000003</v>
      </c>
      <c r="U405" s="632">
        <v>27.034666666666666</v>
      </c>
      <c r="V405" s="638">
        <v>0.3534</v>
      </c>
      <c r="W405" s="613"/>
      <c r="X405" s="633">
        <v>1.4000000000000001</v>
      </c>
      <c r="Y405" s="883">
        <v>0.3534</v>
      </c>
      <c r="Z405" s="828">
        <v>12.958</v>
      </c>
      <c r="AA405" s="881">
        <v>0.51832</v>
      </c>
      <c r="AB405" s="830"/>
      <c r="AC405" s="940">
        <v>7.6000000000000005</v>
      </c>
      <c r="AD405" s="830" t="s">
        <v>176</v>
      </c>
      <c r="AE405" s="830">
        <v>0</v>
      </c>
      <c r="AF405" s="803">
        <v>6059</v>
      </c>
    </row>
    <row r="406" spans="1:32" ht="14.25">
      <c r="A406" s="496"/>
      <c r="B406" s="761"/>
      <c r="C406" s="761"/>
      <c r="D406" s="208"/>
      <c r="E406" s="203"/>
      <c r="F406" s="509"/>
      <c r="G406" s="1053"/>
      <c r="H406" s="506"/>
      <c r="I406" s="506"/>
      <c r="J406" s="764"/>
      <c r="K406" s="499"/>
      <c r="L406" s="495"/>
      <c r="M406" s="780"/>
      <c r="N406" s="500" t="s">
        <v>413</v>
      </c>
      <c r="O406" s="788" t="s">
        <v>413</v>
      </c>
      <c r="P406" s="811"/>
      <c r="Q406" s="507"/>
      <c r="R406" s="201" t="s">
        <v>413</v>
      </c>
      <c r="S406" s="201"/>
      <c r="T406" s="1279" t="s">
        <v>413</v>
      </c>
      <c r="U406" s="520"/>
      <c r="V406" s="1284"/>
      <c r="W406" s="1284"/>
      <c r="X406" s="520"/>
      <c r="Y406" s="823" t="s">
        <v>413</v>
      </c>
      <c r="Z406" s="834"/>
      <c r="AA406" s="880"/>
      <c r="AB406" s="811"/>
      <c r="AC406" s="941" t="s">
        <v>413</v>
      </c>
      <c r="AD406" s="835" t="s">
        <v>413</v>
      </c>
      <c r="AE406" s="835"/>
      <c r="AF406" s="802"/>
    </row>
    <row r="407" spans="1:32" ht="14.25">
      <c r="A407" s="987">
        <v>6070</v>
      </c>
      <c r="B407" s="988"/>
      <c r="C407" s="989" t="s">
        <v>654</v>
      </c>
      <c r="D407" s="1021"/>
      <c r="E407" s="1022"/>
      <c r="F407" s="1023"/>
      <c r="G407" s="1024"/>
      <c r="H407" s="1025"/>
      <c r="I407" s="1025"/>
      <c r="J407" s="1026"/>
      <c r="K407" s="1026"/>
      <c r="L407" s="1021"/>
      <c r="M407" s="1026"/>
      <c r="N407" s="1263" t="s">
        <v>413</v>
      </c>
      <c r="O407" s="816" t="s">
        <v>413</v>
      </c>
      <c r="P407" s="809"/>
      <c r="Q407" s="603"/>
      <c r="R407" s="605" t="s">
        <v>413</v>
      </c>
      <c r="S407" s="606"/>
      <c r="T407" s="1276" t="s">
        <v>413</v>
      </c>
      <c r="U407" s="604"/>
      <c r="V407" s="1025"/>
      <c r="W407" s="1025"/>
      <c r="X407" s="604"/>
      <c r="Y407" s="833" t="s">
        <v>413</v>
      </c>
      <c r="Z407" s="820"/>
      <c r="AA407" s="821"/>
      <c r="AB407" s="822"/>
      <c r="AC407" s="938" t="s">
        <v>413</v>
      </c>
      <c r="AD407" s="822" t="s">
        <v>413</v>
      </c>
      <c r="AE407" s="822"/>
      <c r="AF407" s="801">
        <v>6070</v>
      </c>
    </row>
    <row r="408" spans="1:32" ht="14.25">
      <c r="A408" s="496"/>
      <c r="B408" s="761"/>
      <c r="C408" s="761"/>
      <c r="D408" s="208"/>
      <c r="E408" s="203"/>
      <c r="F408" s="509"/>
      <c r="G408" s="1053"/>
      <c r="H408" s="506"/>
      <c r="I408" s="506"/>
      <c r="J408" s="764"/>
      <c r="K408" s="499"/>
      <c r="L408" s="495"/>
      <c r="M408" s="780"/>
      <c r="N408" s="500" t="s">
        <v>413</v>
      </c>
      <c r="O408" s="788" t="s">
        <v>413</v>
      </c>
      <c r="P408" s="811"/>
      <c r="Q408" s="507"/>
      <c r="R408" s="201" t="s">
        <v>413</v>
      </c>
      <c r="S408" s="201"/>
      <c r="T408" s="1279" t="s">
        <v>413</v>
      </c>
      <c r="U408" s="520"/>
      <c r="V408" s="1284"/>
      <c r="W408" s="1284"/>
      <c r="X408" s="520"/>
      <c r="Y408" s="823" t="s">
        <v>413</v>
      </c>
      <c r="Z408" s="834"/>
      <c r="AA408" s="880"/>
      <c r="AB408" s="811"/>
      <c r="AC408" s="941" t="s">
        <v>413</v>
      </c>
      <c r="AD408" s="835" t="s">
        <v>413</v>
      </c>
      <c r="AE408" s="835"/>
      <c r="AF408" s="802"/>
    </row>
    <row r="409" spans="1:32" ht="14.25">
      <c r="A409" s="990">
        <v>6080</v>
      </c>
      <c r="B409" s="991"/>
      <c r="C409" s="991" t="s">
        <v>655</v>
      </c>
      <c r="D409" s="1120">
        <v>6</v>
      </c>
      <c r="E409" s="1028">
        <v>19500</v>
      </c>
      <c r="F409" s="1041">
        <v>21</v>
      </c>
      <c r="G409" s="1123">
        <v>3.5</v>
      </c>
      <c r="H409" s="638">
        <v>3</v>
      </c>
      <c r="I409" s="638">
        <v>4.4</v>
      </c>
      <c r="J409" s="1124">
        <v>800</v>
      </c>
      <c r="K409" s="1032" t="s">
        <v>347</v>
      </c>
      <c r="L409" s="1251">
        <v>12</v>
      </c>
      <c r="M409" s="1165">
        <v>24000</v>
      </c>
      <c r="N409" s="1264">
        <v>0.25</v>
      </c>
      <c r="O409" s="815">
        <v>1.15</v>
      </c>
      <c r="P409" s="812">
        <v>37</v>
      </c>
      <c r="Q409" s="609">
        <v>0.05</v>
      </c>
      <c r="R409" s="610">
        <v>1117.5</v>
      </c>
      <c r="S409" s="610">
        <v>210</v>
      </c>
      <c r="T409" s="1278">
        <v>1821</v>
      </c>
      <c r="U409" s="608">
        <v>22.625</v>
      </c>
      <c r="V409" s="638">
        <v>0.934375</v>
      </c>
      <c r="W409" s="613"/>
      <c r="X409" s="608">
        <v>1.4000000000000001</v>
      </c>
      <c r="Y409" s="883">
        <v>0.934375</v>
      </c>
      <c r="Z409" s="828">
        <v>21.190125000000005</v>
      </c>
      <c r="AA409" s="881">
        <v>3.5316875000000008</v>
      </c>
      <c r="AB409" s="830">
        <v>2</v>
      </c>
      <c r="AC409" s="940">
        <v>39</v>
      </c>
      <c r="AD409" s="830" t="s">
        <v>176</v>
      </c>
      <c r="AE409" s="830">
        <v>0</v>
      </c>
      <c r="AF409" s="803">
        <v>6080</v>
      </c>
    </row>
    <row r="410" spans="1:32" ht="14.25">
      <c r="A410" s="154">
        <v>6081</v>
      </c>
      <c r="B410" s="992"/>
      <c r="C410" s="992" t="s">
        <v>1219</v>
      </c>
      <c r="D410" s="525">
        <v>12</v>
      </c>
      <c r="E410" s="504">
        <v>21000</v>
      </c>
      <c r="F410" s="509">
        <v>35</v>
      </c>
      <c r="G410" s="1125">
        <v>2.9</v>
      </c>
      <c r="H410" s="526">
        <v>2.5</v>
      </c>
      <c r="I410" s="526">
        <v>3.6</v>
      </c>
      <c r="J410" s="771">
        <v>1000</v>
      </c>
      <c r="K410" s="145" t="s">
        <v>347</v>
      </c>
      <c r="L410" s="492">
        <v>12</v>
      </c>
      <c r="M410" s="784">
        <v>24000</v>
      </c>
      <c r="N410" s="500">
        <v>0.25</v>
      </c>
      <c r="O410" s="788">
        <v>0.8</v>
      </c>
      <c r="P410" s="492">
        <v>40</v>
      </c>
      <c r="Q410" s="507">
        <v>0.05</v>
      </c>
      <c r="R410" s="201">
        <v>1895.2</v>
      </c>
      <c r="S410" s="201">
        <v>399</v>
      </c>
      <c r="T410" s="1277">
        <v>1962</v>
      </c>
      <c r="U410" s="506">
        <v>29.252499999999998</v>
      </c>
      <c r="V410" s="526">
        <v>0.7000000000000001</v>
      </c>
      <c r="W410" s="506"/>
      <c r="X410" s="506">
        <v>1.4000000000000001</v>
      </c>
      <c r="Y410" s="884">
        <v>0.7000000000000001</v>
      </c>
      <c r="Z410" s="831">
        <v>35.138400000000004</v>
      </c>
      <c r="AA410" s="882">
        <v>2.9282000000000004</v>
      </c>
      <c r="AB410" s="826">
        <v>3</v>
      </c>
      <c r="AC410" s="939">
        <v>42</v>
      </c>
      <c r="AD410" s="826" t="s">
        <v>176</v>
      </c>
      <c r="AE410" s="826">
        <v>0</v>
      </c>
      <c r="AF410" s="804">
        <v>6081</v>
      </c>
    </row>
    <row r="411" spans="1:32" ht="14.25">
      <c r="A411" s="990">
        <v>6082</v>
      </c>
      <c r="B411" s="991"/>
      <c r="C411" s="991" t="s">
        <v>1220</v>
      </c>
      <c r="D411" s="1120">
        <v>15</v>
      </c>
      <c r="E411" s="1028">
        <v>22000</v>
      </c>
      <c r="F411" s="1041">
        <v>42</v>
      </c>
      <c r="G411" s="1123">
        <v>2.8</v>
      </c>
      <c r="H411" s="638">
        <v>2.4</v>
      </c>
      <c r="I411" s="638">
        <v>3.5</v>
      </c>
      <c r="J411" s="1124">
        <v>1200</v>
      </c>
      <c r="K411" s="1032" t="s">
        <v>347</v>
      </c>
      <c r="L411" s="1251">
        <v>12</v>
      </c>
      <c r="M411" s="1165">
        <v>24000</v>
      </c>
      <c r="N411" s="1264">
        <v>0.1</v>
      </c>
      <c r="O411" s="815">
        <v>0.7</v>
      </c>
      <c r="P411" s="812">
        <v>42</v>
      </c>
      <c r="Q411" s="609">
        <v>0.05</v>
      </c>
      <c r="R411" s="610">
        <v>1750.75</v>
      </c>
      <c r="S411" s="610">
        <v>399</v>
      </c>
      <c r="T411" s="1278">
        <v>2298</v>
      </c>
      <c r="U411" s="608">
        <v>36.6125</v>
      </c>
      <c r="V411" s="638">
        <v>0.6416666666666666</v>
      </c>
      <c r="W411" s="613"/>
      <c r="X411" s="608">
        <v>1.4000000000000001</v>
      </c>
      <c r="Y411" s="883">
        <v>0.6416666666666666</v>
      </c>
      <c r="Z411" s="828">
        <v>42.185</v>
      </c>
      <c r="AA411" s="881">
        <v>2.8123333333333336</v>
      </c>
      <c r="AB411" s="830">
        <v>3.5</v>
      </c>
      <c r="AC411" s="940">
        <v>44</v>
      </c>
      <c r="AD411" s="830" t="s">
        <v>176</v>
      </c>
      <c r="AE411" s="830">
        <v>0</v>
      </c>
      <c r="AF411" s="803">
        <v>6082</v>
      </c>
    </row>
    <row r="412" spans="1:32" ht="14.25">
      <c r="A412" s="154">
        <v>6072</v>
      </c>
      <c r="B412" s="992"/>
      <c r="C412" s="992" t="s">
        <v>656</v>
      </c>
      <c r="D412" s="525">
        <v>15</v>
      </c>
      <c r="E412" s="504">
        <v>23000</v>
      </c>
      <c r="F412" s="509">
        <v>49</v>
      </c>
      <c r="G412" s="1125">
        <v>3.2</v>
      </c>
      <c r="H412" s="527">
        <v>2.8</v>
      </c>
      <c r="I412" s="526">
        <v>4</v>
      </c>
      <c r="J412" s="771">
        <v>1000</v>
      </c>
      <c r="K412" s="145" t="s">
        <v>347</v>
      </c>
      <c r="L412" s="492">
        <v>12</v>
      </c>
      <c r="M412" s="784">
        <v>22000</v>
      </c>
      <c r="N412" s="500">
        <v>0.25</v>
      </c>
      <c r="O412" s="788">
        <v>0.75</v>
      </c>
      <c r="P412" s="492">
        <v>47</v>
      </c>
      <c r="Q412" s="495"/>
      <c r="R412" s="201" t="s">
        <v>413</v>
      </c>
      <c r="S412" s="201"/>
      <c r="T412" s="1277">
        <v>2168</v>
      </c>
      <c r="U412" s="495"/>
      <c r="V412" s="526">
        <v>0.7840909090909091</v>
      </c>
      <c r="W412" s="506"/>
      <c r="X412" s="495"/>
      <c r="Y412" s="884">
        <v>0.7840909090909091</v>
      </c>
      <c r="Z412" s="831">
        <v>48.709500000000006</v>
      </c>
      <c r="AA412" s="882">
        <v>3.2473000000000005</v>
      </c>
      <c r="AB412" s="826">
        <v>3</v>
      </c>
      <c r="AC412" s="939">
        <v>46</v>
      </c>
      <c r="AD412" s="826" t="s">
        <v>176</v>
      </c>
      <c r="AE412" s="826">
        <v>0</v>
      </c>
      <c r="AF412" s="804">
        <v>6072</v>
      </c>
    </row>
    <row r="413" spans="1:32" ht="14.25">
      <c r="A413" s="990">
        <v>6073</v>
      </c>
      <c r="B413" s="991"/>
      <c r="C413" s="991" t="s">
        <v>657</v>
      </c>
      <c r="D413" s="1120">
        <v>18</v>
      </c>
      <c r="E413" s="1028">
        <v>25000</v>
      </c>
      <c r="F413" s="1041">
        <v>49</v>
      </c>
      <c r="G413" s="1123">
        <v>2.7</v>
      </c>
      <c r="H413" s="1126">
        <v>2.3</v>
      </c>
      <c r="I413" s="638">
        <v>3.4</v>
      </c>
      <c r="J413" s="1124">
        <v>1300</v>
      </c>
      <c r="K413" s="1032" t="s">
        <v>347</v>
      </c>
      <c r="L413" s="1251">
        <v>12</v>
      </c>
      <c r="M413" s="1165">
        <v>30000</v>
      </c>
      <c r="N413" s="1264">
        <v>0.25</v>
      </c>
      <c r="O413" s="815">
        <v>0.75</v>
      </c>
      <c r="P413" s="812">
        <v>58</v>
      </c>
      <c r="Q413" s="603"/>
      <c r="R413" s="605" t="s">
        <v>413</v>
      </c>
      <c r="S413" s="606"/>
      <c r="T413" s="1278">
        <v>2398</v>
      </c>
      <c r="U413" s="604"/>
      <c r="V413" s="638">
        <v>0.625</v>
      </c>
      <c r="W413" s="613"/>
      <c r="X413" s="604"/>
      <c r="Y413" s="883">
        <v>0.625</v>
      </c>
      <c r="Z413" s="828">
        <v>48.898384615384614</v>
      </c>
      <c r="AA413" s="881">
        <v>2.7165769230769232</v>
      </c>
      <c r="AB413" s="830">
        <v>4</v>
      </c>
      <c r="AC413" s="940">
        <v>50</v>
      </c>
      <c r="AD413" s="830" t="s">
        <v>176</v>
      </c>
      <c r="AE413" s="830">
        <v>0</v>
      </c>
      <c r="AF413" s="803">
        <v>6073</v>
      </c>
    </row>
    <row r="414" spans="1:32" ht="14.25">
      <c r="A414" s="154">
        <v>6074</v>
      </c>
      <c r="B414" s="992"/>
      <c r="C414" s="992" t="s">
        <v>658</v>
      </c>
      <c r="D414" s="525">
        <v>19.8</v>
      </c>
      <c r="E414" s="504">
        <v>33000</v>
      </c>
      <c r="F414" s="509">
        <v>54</v>
      </c>
      <c r="G414" s="1125">
        <v>2.7</v>
      </c>
      <c r="H414" s="527">
        <v>2.3</v>
      </c>
      <c r="I414" s="526">
        <v>3.4</v>
      </c>
      <c r="J414" s="771">
        <v>1700</v>
      </c>
      <c r="K414" s="145" t="s">
        <v>347</v>
      </c>
      <c r="L414" s="492">
        <v>12</v>
      </c>
      <c r="M414" s="784">
        <v>36000</v>
      </c>
      <c r="N414" s="500">
        <v>0.25</v>
      </c>
      <c r="O414" s="788">
        <v>0.7</v>
      </c>
      <c r="P414" s="492">
        <v>64</v>
      </c>
      <c r="Q414" s="507"/>
      <c r="R414" s="201" t="s">
        <v>413</v>
      </c>
      <c r="S414" s="201"/>
      <c r="T414" s="1277">
        <v>3090</v>
      </c>
      <c r="U414" s="506"/>
      <c r="V414" s="526">
        <v>0.6416666666666666</v>
      </c>
      <c r="W414" s="506"/>
      <c r="X414" s="506"/>
      <c r="Y414" s="884">
        <v>0.6416666666666666</v>
      </c>
      <c r="Z414" s="831">
        <v>53.56385294117647</v>
      </c>
      <c r="AA414" s="882">
        <v>2.7052450980392155</v>
      </c>
      <c r="AB414" s="826">
        <v>5</v>
      </c>
      <c r="AC414" s="939">
        <v>66</v>
      </c>
      <c r="AD414" s="826" t="s">
        <v>176</v>
      </c>
      <c r="AE414" s="826">
        <v>0</v>
      </c>
      <c r="AF414" s="804">
        <v>6074</v>
      </c>
    </row>
    <row r="415" spans="1:32" ht="14.25">
      <c r="A415" s="990">
        <v>6075</v>
      </c>
      <c r="B415" s="991"/>
      <c r="C415" s="991" t="s">
        <v>659</v>
      </c>
      <c r="D415" s="1120">
        <v>22.2</v>
      </c>
      <c r="E415" s="1028">
        <v>36000</v>
      </c>
      <c r="F415" s="1041">
        <v>51</v>
      </c>
      <c r="G415" s="1123">
        <v>2.3</v>
      </c>
      <c r="H415" s="1126">
        <v>2</v>
      </c>
      <c r="I415" s="638">
        <v>2.9</v>
      </c>
      <c r="J415" s="1124">
        <v>2200</v>
      </c>
      <c r="K415" s="1032" t="s">
        <v>347</v>
      </c>
      <c r="L415" s="1251">
        <v>12</v>
      </c>
      <c r="M415" s="1165">
        <v>50000</v>
      </c>
      <c r="N415" s="1264">
        <v>0.25</v>
      </c>
      <c r="O415" s="815">
        <v>0.8</v>
      </c>
      <c r="P415" s="812">
        <v>70</v>
      </c>
      <c r="Q415" s="630">
        <v>0.01</v>
      </c>
      <c r="R415" s="610">
        <v>957</v>
      </c>
      <c r="S415" s="610">
        <v>259</v>
      </c>
      <c r="T415" s="1278">
        <v>3372</v>
      </c>
      <c r="U415" s="638">
        <v>1.5475</v>
      </c>
      <c r="V415" s="638">
        <v>0.576</v>
      </c>
      <c r="W415" s="613"/>
      <c r="X415" s="638">
        <v>0.28</v>
      </c>
      <c r="Y415" s="883">
        <v>0.576</v>
      </c>
      <c r="Z415" s="828">
        <v>51.49512000000001</v>
      </c>
      <c r="AA415" s="881">
        <v>2.3196000000000003</v>
      </c>
      <c r="AB415" s="830">
        <v>6</v>
      </c>
      <c r="AC415" s="940">
        <v>72</v>
      </c>
      <c r="AD415" s="830" t="s">
        <v>176</v>
      </c>
      <c r="AE415" s="830">
        <v>0</v>
      </c>
      <c r="AF415" s="803">
        <v>6075</v>
      </c>
    </row>
    <row r="416" spans="1:32" ht="14.25">
      <c r="A416" s="154">
        <v>6076</v>
      </c>
      <c r="B416" s="992"/>
      <c r="C416" s="992" t="s">
        <v>660</v>
      </c>
      <c r="D416" s="525">
        <v>25.8</v>
      </c>
      <c r="E416" s="504">
        <v>46000</v>
      </c>
      <c r="F416" s="509">
        <v>53</v>
      </c>
      <c r="G416" s="1125">
        <v>2.1</v>
      </c>
      <c r="H416" s="526">
        <v>1.8</v>
      </c>
      <c r="I416" s="526">
        <v>2.5</v>
      </c>
      <c r="J416" s="771">
        <v>3200</v>
      </c>
      <c r="K416" s="145" t="s">
        <v>347</v>
      </c>
      <c r="L416" s="492">
        <v>12</v>
      </c>
      <c r="M416" s="784">
        <v>75000</v>
      </c>
      <c r="N416" s="500">
        <v>0.25</v>
      </c>
      <c r="O416" s="788">
        <v>0.9</v>
      </c>
      <c r="P416" s="492">
        <v>77</v>
      </c>
      <c r="Q416" s="519">
        <v>0.006666</v>
      </c>
      <c r="R416" s="201">
        <v>1392</v>
      </c>
      <c r="S416" s="201">
        <v>329</v>
      </c>
      <c r="T416" s="1277">
        <v>4234</v>
      </c>
      <c r="U416" s="526">
        <v>1.753</v>
      </c>
      <c r="V416" s="526">
        <v>0.5519999999999999</v>
      </c>
      <c r="W416" s="506"/>
      <c r="X416" s="526">
        <v>0.186648</v>
      </c>
      <c r="Y416" s="884">
        <v>0.5519999999999999</v>
      </c>
      <c r="Z416" s="831">
        <v>53.2160475</v>
      </c>
      <c r="AA416" s="882">
        <v>2.0626375</v>
      </c>
      <c r="AB416" s="826">
        <v>8</v>
      </c>
      <c r="AC416" s="939">
        <v>92</v>
      </c>
      <c r="AD416" s="826" t="s">
        <v>176</v>
      </c>
      <c r="AE416" s="826">
        <v>0</v>
      </c>
      <c r="AF416" s="804">
        <v>6076</v>
      </c>
    </row>
    <row r="417" spans="1:32" ht="14.25">
      <c r="A417" s="990">
        <v>6077</v>
      </c>
      <c r="B417" s="991"/>
      <c r="C417" s="991" t="s">
        <v>661</v>
      </c>
      <c r="D417" s="1120">
        <v>28.5</v>
      </c>
      <c r="E417" s="1028">
        <v>55000</v>
      </c>
      <c r="F417" s="1041">
        <v>56</v>
      </c>
      <c r="G417" s="1123">
        <v>2</v>
      </c>
      <c r="H417" s="638">
        <v>1.7</v>
      </c>
      <c r="I417" s="638">
        <v>2.4</v>
      </c>
      <c r="J417" s="1124">
        <v>4000</v>
      </c>
      <c r="K417" s="1032" t="s">
        <v>347</v>
      </c>
      <c r="L417" s="1251">
        <v>12</v>
      </c>
      <c r="M417" s="1165">
        <v>95000</v>
      </c>
      <c r="N417" s="1264">
        <v>0.25</v>
      </c>
      <c r="O417" s="815">
        <v>0.9</v>
      </c>
      <c r="P417" s="812">
        <v>95</v>
      </c>
      <c r="Q417" s="630">
        <v>0.005</v>
      </c>
      <c r="R417" s="610">
        <v>1522.5</v>
      </c>
      <c r="S417" s="610">
        <v>406</v>
      </c>
      <c r="T417" s="1278">
        <v>5080</v>
      </c>
      <c r="U417" s="638">
        <v>1.5103846153846154</v>
      </c>
      <c r="V417" s="638">
        <v>0.5210526315789474</v>
      </c>
      <c r="W417" s="613"/>
      <c r="X417" s="638">
        <v>0.14</v>
      </c>
      <c r="Y417" s="883">
        <v>0.5210526315789474</v>
      </c>
      <c r="Z417" s="828">
        <v>56.1495</v>
      </c>
      <c r="AA417" s="881">
        <v>1.9701578947368423</v>
      </c>
      <c r="AB417" s="830">
        <v>10</v>
      </c>
      <c r="AC417" s="940">
        <v>110</v>
      </c>
      <c r="AD417" s="830" t="s">
        <v>176</v>
      </c>
      <c r="AE417" s="830">
        <v>0</v>
      </c>
      <c r="AF417" s="803">
        <v>6077</v>
      </c>
    </row>
    <row r="418" spans="1:32" ht="14.25">
      <c r="A418" s="154">
        <v>6078</v>
      </c>
      <c r="B418" s="992"/>
      <c r="C418" s="992" t="s">
        <v>662</v>
      </c>
      <c r="D418" s="525">
        <v>30.6</v>
      </c>
      <c r="E418" s="504">
        <v>62000</v>
      </c>
      <c r="F418" s="509">
        <v>56</v>
      </c>
      <c r="G418" s="1125">
        <v>1.8</v>
      </c>
      <c r="H418" s="526">
        <v>1.6</v>
      </c>
      <c r="I418" s="526">
        <v>2.3</v>
      </c>
      <c r="J418" s="771">
        <v>4800</v>
      </c>
      <c r="K418" s="145" t="s">
        <v>347</v>
      </c>
      <c r="L418" s="492">
        <v>12</v>
      </c>
      <c r="M418" s="784">
        <v>115000</v>
      </c>
      <c r="N418" s="500">
        <v>0.25</v>
      </c>
      <c r="O418" s="788">
        <v>0.9</v>
      </c>
      <c r="P418" s="492">
        <v>104</v>
      </c>
      <c r="Q418" s="519">
        <v>0.004</v>
      </c>
      <c r="R418" s="201">
        <v>1827</v>
      </c>
      <c r="S418" s="201">
        <v>448</v>
      </c>
      <c r="T418" s="1277">
        <v>5708</v>
      </c>
      <c r="U418" s="526">
        <v>1.3629411764705883</v>
      </c>
      <c r="V418" s="526">
        <v>0.4852173913043478</v>
      </c>
      <c r="W418" s="506"/>
      <c r="X418" s="526">
        <v>0.112</v>
      </c>
      <c r="Y418" s="884">
        <v>0.4852173913043478</v>
      </c>
      <c r="Z418" s="831">
        <v>56.35976739130436</v>
      </c>
      <c r="AA418" s="882">
        <v>1.8418224637681162</v>
      </c>
      <c r="AB418" s="826">
        <v>12</v>
      </c>
      <c r="AC418" s="939">
        <v>124</v>
      </c>
      <c r="AD418" s="826" t="s">
        <v>176</v>
      </c>
      <c r="AE418" s="826">
        <v>0</v>
      </c>
      <c r="AF418" s="804">
        <v>6078</v>
      </c>
    </row>
    <row r="419" spans="1:32" ht="14.25">
      <c r="A419" s="496"/>
      <c r="B419" s="761"/>
      <c r="C419" s="761"/>
      <c r="D419" s="499"/>
      <c r="E419" s="203"/>
      <c r="F419" s="495"/>
      <c r="G419" s="495"/>
      <c r="H419" s="495"/>
      <c r="I419" s="495"/>
      <c r="J419" s="499"/>
      <c r="K419" s="499"/>
      <c r="L419" s="495"/>
      <c r="M419" s="499"/>
      <c r="N419" s="500" t="s">
        <v>413</v>
      </c>
      <c r="O419" s="788" t="s">
        <v>413</v>
      </c>
      <c r="P419" s="811"/>
      <c r="Q419" s="630">
        <v>0.0033333</v>
      </c>
      <c r="R419" s="610">
        <v>2001</v>
      </c>
      <c r="S419" s="610">
        <v>490</v>
      </c>
      <c r="T419" s="1279" t="s">
        <v>413</v>
      </c>
      <c r="U419" s="638">
        <v>1.153181818181818</v>
      </c>
      <c r="V419" s="499"/>
      <c r="W419" s="499"/>
      <c r="X419" s="638">
        <v>0.0933324</v>
      </c>
      <c r="Y419" s="823" t="s">
        <v>413</v>
      </c>
      <c r="Z419" s="811"/>
      <c r="AA419" s="811"/>
      <c r="AB419" s="811"/>
      <c r="AC419" s="941" t="s">
        <v>413</v>
      </c>
      <c r="AD419" s="835" t="s">
        <v>413</v>
      </c>
      <c r="AE419" s="811"/>
      <c r="AF419" s="802"/>
    </row>
    <row r="420" spans="1:32" ht="14.25">
      <c r="A420" s="987">
        <v>6090</v>
      </c>
      <c r="B420" s="988"/>
      <c r="C420" s="989" t="s">
        <v>663</v>
      </c>
      <c r="D420" s="1026"/>
      <c r="E420" s="1022"/>
      <c r="F420" s="1023"/>
      <c r="G420" s="1024"/>
      <c r="H420" s="1025"/>
      <c r="I420" s="1025"/>
      <c r="J420" s="1026"/>
      <c r="K420" s="1026"/>
      <c r="L420" s="1021"/>
      <c r="M420" s="1026"/>
      <c r="N420" s="1263" t="s">
        <v>413</v>
      </c>
      <c r="O420" s="816" t="s">
        <v>413</v>
      </c>
      <c r="P420" s="809"/>
      <c r="Q420" s="519">
        <v>0.0025</v>
      </c>
      <c r="R420" s="201">
        <v>2784</v>
      </c>
      <c r="S420" s="201">
        <v>539</v>
      </c>
      <c r="T420" s="1276" t="s">
        <v>413</v>
      </c>
      <c r="U420" s="526">
        <v>1.129</v>
      </c>
      <c r="V420" s="1025"/>
      <c r="W420" s="1025"/>
      <c r="X420" s="526">
        <v>0.07</v>
      </c>
      <c r="Y420" s="833" t="s">
        <v>413</v>
      </c>
      <c r="Z420" s="820"/>
      <c r="AA420" s="821"/>
      <c r="AB420" s="822"/>
      <c r="AC420" s="938" t="s">
        <v>413</v>
      </c>
      <c r="AD420" s="822" t="s">
        <v>413</v>
      </c>
      <c r="AE420" s="822"/>
      <c r="AF420" s="801">
        <v>6090</v>
      </c>
    </row>
    <row r="421" spans="1:32" ht="14.25">
      <c r="A421" s="496"/>
      <c r="B421" s="761"/>
      <c r="C421" s="1006"/>
      <c r="D421" s="499"/>
      <c r="E421" s="203"/>
      <c r="F421" s="495"/>
      <c r="G421" s="495"/>
      <c r="H421" s="495"/>
      <c r="I421" s="495"/>
      <c r="J421" s="499"/>
      <c r="K421" s="499"/>
      <c r="L421" s="495"/>
      <c r="M421" s="499"/>
      <c r="N421" s="500" t="s">
        <v>413</v>
      </c>
      <c r="O421" s="788" t="s">
        <v>413</v>
      </c>
      <c r="P421" s="811"/>
      <c r="Q421" s="630">
        <v>0.002</v>
      </c>
      <c r="R421" s="610">
        <v>3741</v>
      </c>
      <c r="S421" s="610">
        <v>665</v>
      </c>
      <c r="T421" s="1279" t="s">
        <v>413</v>
      </c>
      <c r="U421" s="638">
        <v>1.123</v>
      </c>
      <c r="V421" s="499"/>
      <c r="W421" s="499"/>
      <c r="X421" s="638">
        <v>0.056</v>
      </c>
      <c r="Y421" s="823" t="s">
        <v>413</v>
      </c>
      <c r="Z421" s="832"/>
      <c r="AA421" s="832"/>
      <c r="AB421" s="811"/>
      <c r="AC421" s="941" t="s">
        <v>413</v>
      </c>
      <c r="AD421" s="835" t="s">
        <v>413</v>
      </c>
      <c r="AE421" s="835"/>
      <c r="AF421" s="802"/>
    </row>
    <row r="422" spans="1:32" ht="28.5">
      <c r="A422" s="990">
        <v>6096</v>
      </c>
      <c r="B422" s="991"/>
      <c r="C422" s="991" t="s">
        <v>1348</v>
      </c>
      <c r="D422" s="1120">
        <v>15</v>
      </c>
      <c r="E422" s="1028">
        <v>36000</v>
      </c>
      <c r="F422" s="1041">
        <v>39</v>
      </c>
      <c r="G422" s="1123">
        <v>2.6</v>
      </c>
      <c r="H422" s="638">
        <v>2.2</v>
      </c>
      <c r="I422" s="638">
        <v>3.3</v>
      </c>
      <c r="J422" s="1124">
        <v>1800</v>
      </c>
      <c r="K422" s="1032" t="s">
        <v>347</v>
      </c>
      <c r="L422" s="1251">
        <v>12</v>
      </c>
      <c r="M422" s="1165">
        <v>40000</v>
      </c>
      <c r="N422" s="1264">
        <v>0.25</v>
      </c>
      <c r="O422" s="815">
        <v>0.65</v>
      </c>
      <c r="P422" s="812">
        <v>45</v>
      </c>
      <c r="Q422" s="519">
        <v>0.0016666</v>
      </c>
      <c r="R422" s="201">
        <v>4002</v>
      </c>
      <c r="S422" s="201">
        <v>728</v>
      </c>
      <c r="T422" s="1278">
        <v>3222</v>
      </c>
      <c r="U422" s="526">
        <v>1.0045833333333334</v>
      </c>
      <c r="V422" s="638">
        <v>0.5850000000000001</v>
      </c>
      <c r="W422" s="613"/>
      <c r="X422" s="526">
        <v>0.0466648</v>
      </c>
      <c r="Y422" s="883">
        <v>0.5850000000000001</v>
      </c>
      <c r="Z422" s="828">
        <v>39.18750000000001</v>
      </c>
      <c r="AA422" s="881">
        <v>2.6125000000000003</v>
      </c>
      <c r="AB422" s="830">
        <v>3</v>
      </c>
      <c r="AC422" s="940">
        <v>72</v>
      </c>
      <c r="AD422" s="830" t="s">
        <v>176</v>
      </c>
      <c r="AE422" s="830">
        <v>0</v>
      </c>
      <c r="AF422" s="803">
        <v>6096</v>
      </c>
    </row>
    <row r="423" spans="1:32" ht="14.25">
      <c r="A423" s="154">
        <v>6091</v>
      </c>
      <c r="B423" s="761"/>
      <c r="C423" s="992" t="s">
        <v>664</v>
      </c>
      <c r="D423" s="205">
        <v>19.8</v>
      </c>
      <c r="E423" s="504">
        <v>52000</v>
      </c>
      <c r="F423" s="509">
        <v>46</v>
      </c>
      <c r="G423" s="1125">
        <v>2.3</v>
      </c>
      <c r="H423" s="527">
        <v>2</v>
      </c>
      <c r="I423" s="526">
        <v>2.9</v>
      </c>
      <c r="J423" s="771">
        <v>3500</v>
      </c>
      <c r="K423" s="145" t="s">
        <v>347</v>
      </c>
      <c r="L423" s="492">
        <v>12</v>
      </c>
      <c r="M423" s="784">
        <v>50000</v>
      </c>
      <c r="N423" s="500">
        <v>0.1</v>
      </c>
      <c r="O423" s="788">
        <v>0.6</v>
      </c>
      <c r="P423" s="492">
        <v>69</v>
      </c>
      <c r="Q423" s="630">
        <v>0.01</v>
      </c>
      <c r="R423" s="610">
        <v>428.55999999999995</v>
      </c>
      <c r="S423" s="610">
        <v>0</v>
      </c>
      <c r="T423" s="1277">
        <v>5250</v>
      </c>
      <c r="U423" s="638">
        <v>0.14578666666666665</v>
      </c>
      <c r="V423" s="526">
        <v>0.624</v>
      </c>
      <c r="W423" s="506"/>
      <c r="X423" s="638">
        <v>0.28</v>
      </c>
      <c r="Y423" s="884">
        <v>0.624</v>
      </c>
      <c r="Z423" s="831">
        <v>46.260720000000006</v>
      </c>
      <c r="AA423" s="882">
        <v>2.3364000000000003</v>
      </c>
      <c r="AB423" s="826">
        <v>5</v>
      </c>
      <c r="AC423" s="939">
        <v>104</v>
      </c>
      <c r="AD423" s="826" t="s">
        <v>176</v>
      </c>
      <c r="AE423" s="826">
        <v>0</v>
      </c>
      <c r="AF423" s="804">
        <v>6091</v>
      </c>
    </row>
    <row r="424" spans="1:32" ht="14.25">
      <c r="A424" s="990">
        <v>6092</v>
      </c>
      <c r="B424" s="996"/>
      <c r="C424" s="991" t="s">
        <v>665</v>
      </c>
      <c r="D424" s="1127">
        <v>22.2</v>
      </c>
      <c r="E424" s="1028">
        <v>62000</v>
      </c>
      <c r="F424" s="1041">
        <v>52</v>
      </c>
      <c r="G424" s="1123">
        <v>2.3</v>
      </c>
      <c r="H424" s="1126">
        <v>2</v>
      </c>
      <c r="I424" s="638">
        <v>2.9</v>
      </c>
      <c r="J424" s="1124">
        <v>4000</v>
      </c>
      <c r="K424" s="1032" t="s">
        <v>347</v>
      </c>
      <c r="L424" s="1251">
        <v>12</v>
      </c>
      <c r="M424" s="1165">
        <v>60000</v>
      </c>
      <c r="N424" s="1264">
        <v>0.1</v>
      </c>
      <c r="O424" s="815">
        <v>0.55</v>
      </c>
      <c r="P424" s="812">
        <v>80</v>
      </c>
      <c r="Q424" s="507"/>
      <c r="R424" s="201" t="s">
        <v>413</v>
      </c>
      <c r="S424" s="201"/>
      <c r="T424" s="1278">
        <v>6246</v>
      </c>
      <c r="U424" s="506"/>
      <c r="V424" s="638">
        <v>0.5683333333333335</v>
      </c>
      <c r="W424" s="613"/>
      <c r="X424" s="506"/>
      <c r="Y424" s="883">
        <v>0.5683333333333335</v>
      </c>
      <c r="Z424" s="828">
        <v>52.01053000000001</v>
      </c>
      <c r="AA424" s="881">
        <v>2.342816666666667</v>
      </c>
      <c r="AB424" s="830">
        <v>6</v>
      </c>
      <c r="AC424" s="940">
        <v>124</v>
      </c>
      <c r="AD424" s="830" t="s">
        <v>176</v>
      </c>
      <c r="AE424" s="830">
        <v>0</v>
      </c>
      <c r="AF424" s="803">
        <v>6092</v>
      </c>
    </row>
    <row r="425" spans="1:32" ht="14.25">
      <c r="A425" s="154">
        <v>6093</v>
      </c>
      <c r="B425" s="761"/>
      <c r="C425" s="992" t="s">
        <v>666</v>
      </c>
      <c r="D425" s="205">
        <v>25.8</v>
      </c>
      <c r="E425" s="504">
        <v>74000</v>
      </c>
      <c r="F425" s="509">
        <v>53</v>
      </c>
      <c r="G425" s="1125">
        <v>2</v>
      </c>
      <c r="H425" s="526">
        <v>1.7</v>
      </c>
      <c r="I425" s="526">
        <v>2.5</v>
      </c>
      <c r="J425" s="771">
        <v>5500</v>
      </c>
      <c r="K425" s="145" t="s">
        <v>347</v>
      </c>
      <c r="L425" s="492">
        <v>12</v>
      </c>
      <c r="M425" s="784">
        <v>80000</v>
      </c>
      <c r="N425" s="500">
        <v>0.1</v>
      </c>
      <c r="O425" s="788">
        <v>0.55</v>
      </c>
      <c r="P425" s="492">
        <v>83</v>
      </c>
      <c r="Q425" s="603"/>
      <c r="R425" s="605" t="s">
        <v>413</v>
      </c>
      <c r="S425" s="606"/>
      <c r="T425" s="1277">
        <v>7380</v>
      </c>
      <c r="U425" s="604"/>
      <c r="V425" s="526">
        <v>0.50875</v>
      </c>
      <c r="W425" s="506"/>
      <c r="X425" s="604"/>
      <c r="Y425" s="884">
        <v>0.50875</v>
      </c>
      <c r="Z425" s="831">
        <v>52.519125</v>
      </c>
      <c r="AA425" s="882">
        <v>2.035625</v>
      </c>
      <c r="AB425" s="826">
        <v>8</v>
      </c>
      <c r="AC425" s="939">
        <v>148</v>
      </c>
      <c r="AD425" s="826" t="s">
        <v>176</v>
      </c>
      <c r="AE425" s="826">
        <v>0</v>
      </c>
      <c r="AF425" s="804">
        <v>6093</v>
      </c>
    </row>
    <row r="426" spans="1:32" ht="14.25">
      <c r="A426" s="990">
        <v>6094</v>
      </c>
      <c r="B426" s="996"/>
      <c r="C426" s="991" t="s">
        <v>667</v>
      </c>
      <c r="D426" s="1127">
        <v>28.5</v>
      </c>
      <c r="E426" s="1028">
        <v>81000</v>
      </c>
      <c r="F426" s="1041">
        <v>54</v>
      </c>
      <c r="G426" s="1123">
        <v>1.9</v>
      </c>
      <c r="H426" s="638">
        <v>1.6</v>
      </c>
      <c r="I426" s="638">
        <v>2.4</v>
      </c>
      <c r="J426" s="1124">
        <v>6500</v>
      </c>
      <c r="K426" s="1032" t="s">
        <v>347</v>
      </c>
      <c r="L426" s="1251">
        <v>12</v>
      </c>
      <c r="M426" s="1165">
        <v>100000</v>
      </c>
      <c r="N426" s="1264">
        <v>0.1</v>
      </c>
      <c r="O426" s="815">
        <v>0.55</v>
      </c>
      <c r="P426" s="812">
        <v>123</v>
      </c>
      <c r="Q426" s="507"/>
      <c r="R426" s="201" t="s">
        <v>413</v>
      </c>
      <c r="S426" s="201"/>
      <c r="T426" s="1278">
        <v>8271</v>
      </c>
      <c r="U426" s="506"/>
      <c r="V426" s="638">
        <v>0.44550000000000006</v>
      </c>
      <c r="W426" s="613"/>
      <c r="X426" s="506"/>
      <c r="Y426" s="883">
        <v>0.44550000000000006</v>
      </c>
      <c r="Z426" s="828">
        <v>53.85809423076924</v>
      </c>
      <c r="AA426" s="881">
        <v>1.8897576923076926</v>
      </c>
      <c r="AB426" s="830">
        <v>10</v>
      </c>
      <c r="AC426" s="940">
        <v>162</v>
      </c>
      <c r="AD426" s="830" t="s">
        <v>176</v>
      </c>
      <c r="AE426" s="830">
        <v>0</v>
      </c>
      <c r="AF426" s="803">
        <v>6094</v>
      </c>
    </row>
    <row r="427" spans="1:32" ht="14.25">
      <c r="A427" s="154">
        <v>6095</v>
      </c>
      <c r="B427" s="761"/>
      <c r="C427" s="992" t="s">
        <v>668</v>
      </c>
      <c r="D427" s="205">
        <v>30.6</v>
      </c>
      <c r="E427" s="504">
        <v>87000</v>
      </c>
      <c r="F427" s="509">
        <v>51</v>
      </c>
      <c r="G427" s="1125">
        <v>1.7</v>
      </c>
      <c r="H427" s="526">
        <v>1.4</v>
      </c>
      <c r="I427" s="526">
        <v>2.1</v>
      </c>
      <c r="J427" s="771">
        <v>8000</v>
      </c>
      <c r="K427" s="145" t="s">
        <v>347</v>
      </c>
      <c r="L427" s="492">
        <v>12</v>
      </c>
      <c r="M427" s="784">
        <v>120000</v>
      </c>
      <c r="N427" s="500">
        <v>0.1</v>
      </c>
      <c r="O427" s="788">
        <v>0.55</v>
      </c>
      <c r="P427" s="492">
        <v>134</v>
      </c>
      <c r="Q427" s="630">
        <v>0.01</v>
      </c>
      <c r="R427" s="610">
        <v>1653</v>
      </c>
      <c r="S427" s="610">
        <v>259</v>
      </c>
      <c r="T427" s="1277">
        <v>8895</v>
      </c>
      <c r="U427" s="638">
        <v>2.4375</v>
      </c>
      <c r="V427" s="526">
        <v>0.39875</v>
      </c>
      <c r="W427" s="506"/>
      <c r="X427" s="638">
        <v>0.28</v>
      </c>
      <c r="Y427" s="884">
        <v>0.39875</v>
      </c>
      <c r="Z427" s="831">
        <v>50.847637500000005</v>
      </c>
      <c r="AA427" s="882">
        <v>1.6616875</v>
      </c>
      <c r="AB427" s="826">
        <v>12</v>
      </c>
      <c r="AC427" s="939">
        <v>174</v>
      </c>
      <c r="AD427" s="826" t="s">
        <v>176</v>
      </c>
      <c r="AE427" s="826">
        <v>0</v>
      </c>
      <c r="AF427" s="804">
        <v>6095</v>
      </c>
    </row>
    <row r="428" spans="1:32" ht="14.25">
      <c r="A428" s="496"/>
      <c r="B428" s="761"/>
      <c r="C428" s="496"/>
      <c r="D428" s="209"/>
      <c r="E428" s="504"/>
      <c r="F428" s="509"/>
      <c r="G428" s="1128"/>
      <c r="H428" s="528"/>
      <c r="I428" s="528"/>
      <c r="J428" s="772"/>
      <c r="K428" s="495"/>
      <c r="L428" s="496"/>
      <c r="M428" s="785"/>
      <c r="N428" s="500" t="s">
        <v>413</v>
      </c>
      <c r="O428" s="788" t="s">
        <v>413</v>
      </c>
      <c r="P428" s="810"/>
      <c r="Q428" s="630">
        <v>0.01</v>
      </c>
      <c r="R428" s="610">
        <v>1914</v>
      </c>
      <c r="S428" s="610">
        <v>280</v>
      </c>
      <c r="T428" s="1277" t="s">
        <v>413</v>
      </c>
      <c r="U428" s="638">
        <v>2.238</v>
      </c>
      <c r="V428" s="528"/>
      <c r="W428" s="506"/>
      <c r="X428" s="638">
        <v>0.28</v>
      </c>
      <c r="Y428" s="823" t="s">
        <v>413</v>
      </c>
      <c r="Z428" s="831"/>
      <c r="AA428" s="885"/>
      <c r="AB428" s="802"/>
      <c r="AC428" s="939" t="s">
        <v>413</v>
      </c>
      <c r="AD428" s="826" t="s">
        <v>413</v>
      </c>
      <c r="AE428" s="826"/>
      <c r="AF428" s="802"/>
    </row>
    <row r="429" spans="1:32" ht="14.25">
      <c r="A429" s="987">
        <v>6100</v>
      </c>
      <c r="B429" s="988"/>
      <c r="C429" s="989" t="s">
        <v>669</v>
      </c>
      <c r="D429" s="1026"/>
      <c r="E429" s="1022"/>
      <c r="F429" s="1023"/>
      <c r="G429" s="1024"/>
      <c r="H429" s="1025"/>
      <c r="I429" s="1025"/>
      <c r="J429" s="1026"/>
      <c r="K429" s="1026"/>
      <c r="L429" s="1021"/>
      <c r="M429" s="1026"/>
      <c r="N429" s="1263" t="s">
        <v>413</v>
      </c>
      <c r="O429" s="816" t="s">
        <v>413</v>
      </c>
      <c r="P429" s="809"/>
      <c r="Q429" s="630">
        <v>0.01</v>
      </c>
      <c r="R429" s="610">
        <v>2191.5</v>
      </c>
      <c r="S429" s="610">
        <v>294</v>
      </c>
      <c r="T429" s="1276" t="s">
        <v>413</v>
      </c>
      <c r="U429" s="638">
        <v>2.10875</v>
      </c>
      <c r="V429" s="1025"/>
      <c r="W429" s="1025"/>
      <c r="X429" s="638">
        <v>0.28</v>
      </c>
      <c r="Y429" s="833" t="s">
        <v>413</v>
      </c>
      <c r="Z429" s="820"/>
      <c r="AA429" s="821"/>
      <c r="AB429" s="822"/>
      <c r="AC429" s="938" t="s">
        <v>413</v>
      </c>
      <c r="AD429" s="822" t="s">
        <v>413</v>
      </c>
      <c r="AE429" s="822"/>
      <c r="AF429" s="801">
        <v>6100</v>
      </c>
    </row>
    <row r="430" spans="1:32" ht="14.25">
      <c r="A430" s="496"/>
      <c r="B430" s="761"/>
      <c r="C430" s="496"/>
      <c r="D430" s="499"/>
      <c r="E430" s="504"/>
      <c r="F430" s="509"/>
      <c r="G430" s="495"/>
      <c r="H430" s="506"/>
      <c r="I430" s="506"/>
      <c r="J430" s="773"/>
      <c r="K430" s="495"/>
      <c r="L430" s="496"/>
      <c r="M430" s="780"/>
      <c r="N430" s="500" t="s">
        <v>413</v>
      </c>
      <c r="O430" s="788" t="s">
        <v>413</v>
      </c>
      <c r="P430" s="810"/>
      <c r="Q430" s="519">
        <v>0.006666</v>
      </c>
      <c r="R430" s="201">
        <v>1870.5</v>
      </c>
      <c r="S430" s="201">
        <v>329</v>
      </c>
      <c r="T430" s="1277" t="s">
        <v>413</v>
      </c>
      <c r="U430" s="526">
        <v>2.2425</v>
      </c>
      <c r="V430" s="506"/>
      <c r="W430" s="496"/>
      <c r="X430" s="526">
        <v>0.186648</v>
      </c>
      <c r="Y430" s="823" t="s">
        <v>413</v>
      </c>
      <c r="Z430" s="831"/>
      <c r="AA430" s="850"/>
      <c r="AB430" s="802"/>
      <c r="AC430" s="939" t="s">
        <v>413</v>
      </c>
      <c r="AD430" s="826" t="s">
        <v>413</v>
      </c>
      <c r="AE430" s="826"/>
      <c r="AF430" s="802"/>
    </row>
    <row r="431" spans="1:32" ht="14.25">
      <c r="A431" s="990">
        <v>6101</v>
      </c>
      <c r="B431" s="991"/>
      <c r="C431" s="991" t="s">
        <v>670</v>
      </c>
      <c r="D431" s="1129">
        <v>8</v>
      </c>
      <c r="E431" s="1028">
        <v>3000</v>
      </c>
      <c r="F431" s="1035">
        <v>14.5</v>
      </c>
      <c r="G431" s="1052"/>
      <c r="H431" s="613">
        <v>12</v>
      </c>
      <c r="I431" s="613">
        <v>18</v>
      </c>
      <c r="J431" s="1031">
        <v>30</v>
      </c>
      <c r="K431" s="1032" t="s">
        <v>347</v>
      </c>
      <c r="L431" s="1251">
        <v>15</v>
      </c>
      <c r="M431" s="1232">
        <v>1500</v>
      </c>
      <c r="N431" s="1264">
        <v>0</v>
      </c>
      <c r="O431" s="815">
        <v>1.5</v>
      </c>
      <c r="P431" s="812">
        <v>9</v>
      </c>
      <c r="Q431" s="630">
        <v>0.005</v>
      </c>
      <c r="R431" s="610">
        <v>2088</v>
      </c>
      <c r="S431" s="610">
        <v>406</v>
      </c>
      <c r="T431" s="1278">
        <v>305</v>
      </c>
      <c r="U431" s="638">
        <v>1.9553846153846153</v>
      </c>
      <c r="V431" s="613">
        <v>3</v>
      </c>
      <c r="W431" s="613"/>
      <c r="X431" s="638">
        <v>0.14</v>
      </c>
      <c r="Y431" s="827">
        <v>3</v>
      </c>
      <c r="Z431" s="828">
        <v>14.483333333333334</v>
      </c>
      <c r="AA431" s="881"/>
      <c r="AB431" s="830"/>
      <c r="AC431" s="940">
        <v>6</v>
      </c>
      <c r="AD431" s="830" t="s">
        <v>483</v>
      </c>
      <c r="AE431" s="830">
        <v>0</v>
      </c>
      <c r="AF431" s="803">
        <v>6101</v>
      </c>
    </row>
    <row r="432" spans="1:32" ht="28.5">
      <c r="A432" s="154">
        <v>6103</v>
      </c>
      <c r="B432" s="992"/>
      <c r="C432" s="992" t="s">
        <v>1002</v>
      </c>
      <c r="D432" s="208" t="s">
        <v>347</v>
      </c>
      <c r="E432" s="504">
        <v>13500</v>
      </c>
      <c r="F432" s="612">
        <v>35</v>
      </c>
      <c r="G432" s="1053"/>
      <c r="H432" s="506">
        <v>30</v>
      </c>
      <c r="I432" s="506">
        <v>44</v>
      </c>
      <c r="J432" s="764">
        <v>50</v>
      </c>
      <c r="K432" s="145" t="s">
        <v>347</v>
      </c>
      <c r="L432" s="492">
        <v>15</v>
      </c>
      <c r="M432" s="780">
        <v>2000</v>
      </c>
      <c r="N432" s="500">
        <v>0</v>
      </c>
      <c r="O432" s="788">
        <v>1.2</v>
      </c>
      <c r="P432" s="492">
        <v>9</v>
      </c>
      <c r="Q432" s="519">
        <v>0.004</v>
      </c>
      <c r="R432" s="201">
        <v>2523</v>
      </c>
      <c r="S432" s="201">
        <v>448</v>
      </c>
      <c r="T432" s="1277">
        <v>1183.5</v>
      </c>
      <c r="U432" s="526">
        <v>1.781764705882353</v>
      </c>
      <c r="V432" s="506">
        <v>8.1</v>
      </c>
      <c r="W432" s="506"/>
      <c r="X432" s="526">
        <v>0.112</v>
      </c>
      <c r="Y432" s="823">
        <v>8.1</v>
      </c>
      <c r="Z432" s="831">
        <v>34.947</v>
      </c>
      <c r="AA432" s="882"/>
      <c r="AB432" s="826"/>
      <c r="AC432" s="939">
        <v>27</v>
      </c>
      <c r="AD432" s="826" t="s">
        <v>483</v>
      </c>
      <c r="AE432" s="826">
        <v>0</v>
      </c>
      <c r="AF432" s="804">
        <v>6103</v>
      </c>
    </row>
    <row r="433" spans="1:32" ht="28.5">
      <c r="A433" s="990">
        <v>6105</v>
      </c>
      <c r="B433" s="991"/>
      <c r="C433" s="991" t="s">
        <v>1003</v>
      </c>
      <c r="D433" s="1120">
        <v>20</v>
      </c>
      <c r="E433" s="1028">
        <v>14500</v>
      </c>
      <c r="F433" s="1035">
        <v>34</v>
      </c>
      <c r="G433" s="1121">
        <v>1.7</v>
      </c>
      <c r="H433" s="613">
        <v>28</v>
      </c>
      <c r="I433" s="613">
        <v>44</v>
      </c>
      <c r="J433" s="1031">
        <v>50</v>
      </c>
      <c r="K433" s="1032" t="s">
        <v>347</v>
      </c>
      <c r="L433" s="1251">
        <v>15</v>
      </c>
      <c r="M433" s="1232">
        <v>2000</v>
      </c>
      <c r="N433" s="1264">
        <v>0</v>
      </c>
      <c r="O433" s="815">
        <v>0.75</v>
      </c>
      <c r="P433" s="812">
        <v>11</v>
      </c>
      <c r="Q433" s="630">
        <v>0.0033333</v>
      </c>
      <c r="R433" s="610">
        <v>2610</v>
      </c>
      <c r="S433" s="610">
        <v>490</v>
      </c>
      <c r="T433" s="1278">
        <v>1279.1666666666665</v>
      </c>
      <c r="U433" s="638">
        <v>1.4363636363636363</v>
      </c>
      <c r="V433" s="613">
        <v>5.4375</v>
      </c>
      <c r="W433" s="613"/>
      <c r="X433" s="638">
        <v>0.0933324</v>
      </c>
      <c r="Y433" s="827">
        <v>5.4375</v>
      </c>
      <c r="Z433" s="828">
        <v>34.12291666666666</v>
      </c>
      <c r="AA433" s="881">
        <v>1.706145833333333</v>
      </c>
      <c r="AB433" s="830"/>
      <c r="AC433" s="940">
        <v>29</v>
      </c>
      <c r="AD433" s="830" t="s">
        <v>483</v>
      </c>
      <c r="AE433" s="830">
        <v>0</v>
      </c>
      <c r="AF433" s="803">
        <v>6105</v>
      </c>
    </row>
    <row r="434" spans="1:32" ht="28.5">
      <c r="A434" s="154">
        <v>6107</v>
      </c>
      <c r="B434" s="992"/>
      <c r="C434" s="992" t="s">
        <v>1004</v>
      </c>
      <c r="D434" s="525">
        <v>50</v>
      </c>
      <c r="E434" s="504">
        <v>30000</v>
      </c>
      <c r="F434" s="612">
        <v>56</v>
      </c>
      <c r="G434" s="1122">
        <v>1.1</v>
      </c>
      <c r="H434" s="506">
        <v>47</v>
      </c>
      <c r="I434" s="506">
        <v>72</v>
      </c>
      <c r="J434" s="764">
        <v>60</v>
      </c>
      <c r="K434" s="145" t="s">
        <v>347</v>
      </c>
      <c r="L434" s="492">
        <v>15</v>
      </c>
      <c r="M434" s="780">
        <v>2000</v>
      </c>
      <c r="N434" s="500">
        <v>0</v>
      </c>
      <c r="O434" s="788">
        <v>0.55</v>
      </c>
      <c r="P434" s="492">
        <v>11</v>
      </c>
      <c r="Q434" s="519">
        <v>0.0025</v>
      </c>
      <c r="R434" s="201">
        <v>3567</v>
      </c>
      <c r="S434" s="201">
        <v>539</v>
      </c>
      <c r="T434" s="1277">
        <v>2576</v>
      </c>
      <c r="U434" s="526">
        <v>1.30875</v>
      </c>
      <c r="V434" s="506">
        <v>8.25</v>
      </c>
      <c r="W434" s="506"/>
      <c r="X434" s="526">
        <v>0.07</v>
      </c>
      <c r="Y434" s="823">
        <v>8.25</v>
      </c>
      <c r="Z434" s="831">
        <v>56.30166666666667</v>
      </c>
      <c r="AA434" s="882">
        <v>1.1260333333333334</v>
      </c>
      <c r="AB434" s="826"/>
      <c r="AC434" s="939">
        <v>60</v>
      </c>
      <c r="AD434" s="826" t="s">
        <v>483</v>
      </c>
      <c r="AE434" s="826">
        <v>0</v>
      </c>
      <c r="AF434" s="804">
        <v>6107</v>
      </c>
    </row>
    <row r="435" spans="1:32" ht="28.5">
      <c r="A435" s="990">
        <v>6108</v>
      </c>
      <c r="B435" s="991"/>
      <c r="C435" s="991" t="s">
        <v>1005</v>
      </c>
      <c r="D435" s="1120">
        <v>30</v>
      </c>
      <c r="E435" s="1028">
        <v>21000</v>
      </c>
      <c r="F435" s="1035">
        <v>48</v>
      </c>
      <c r="G435" s="1121">
        <v>1.6</v>
      </c>
      <c r="H435" s="613">
        <v>40</v>
      </c>
      <c r="I435" s="613">
        <v>61</v>
      </c>
      <c r="J435" s="1031">
        <v>50</v>
      </c>
      <c r="K435" s="1032" t="s">
        <v>347</v>
      </c>
      <c r="L435" s="1251">
        <v>15</v>
      </c>
      <c r="M435" s="1232">
        <v>2000</v>
      </c>
      <c r="N435" s="1264">
        <v>0</v>
      </c>
      <c r="O435" s="815">
        <v>0.65</v>
      </c>
      <c r="P435" s="812">
        <v>13</v>
      </c>
      <c r="Q435" s="630">
        <v>0.002</v>
      </c>
      <c r="R435" s="610">
        <v>4263</v>
      </c>
      <c r="S435" s="610">
        <v>665</v>
      </c>
      <c r="T435" s="1278">
        <v>1835</v>
      </c>
      <c r="U435" s="638">
        <v>1.2565</v>
      </c>
      <c r="V435" s="613">
        <v>6.825</v>
      </c>
      <c r="W435" s="613"/>
      <c r="X435" s="638">
        <v>0.056</v>
      </c>
      <c r="Y435" s="827">
        <v>6.825</v>
      </c>
      <c r="Z435" s="828">
        <v>47.87750000000001</v>
      </c>
      <c r="AA435" s="881">
        <v>1.595916666666667</v>
      </c>
      <c r="AB435" s="830"/>
      <c r="AC435" s="940">
        <v>42</v>
      </c>
      <c r="AD435" s="830" t="s">
        <v>483</v>
      </c>
      <c r="AE435" s="830">
        <v>0</v>
      </c>
      <c r="AF435" s="803">
        <v>6108</v>
      </c>
    </row>
    <row r="436" spans="1:32" ht="14.25">
      <c r="A436" s="154">
        <v>6109</v>
      </c>
      <c r="B436" s="992"/>
      <c r="C436" s="992" t="s">
        <v>671</v>
      </c>
      <c r="D436" s="525">
        <v>70</v>
      </c>
      <c r="E436" s="504">
        <v>8900</v>
      </c>
      <c r="F436" s="612">
        <v>26</v>
      </c>
      <c r="G436" s="1122">
        <v>0.4</v>
      </c>
      <c r="H436" s="506">
        <v>22</v>
      </c>
      <c r="I436" s="506">
        <v>32</v>
      </c>
      <c r="J436" s="764">
        <v>50</v>
      </c>
      <c r="K436" s="145" t="s">
        <v>347</v>
      </c>
      <c r="L436" s="492">
        <v>15</v>
      </c>
      <c r="M436" s="780">
        <v>2000</v>
      </c>
      <c r="N436" s="500">
        <v>0</v>
      </c>
      <c r="O436" s="788">
        <v>1.6</v>
      </c>
      <c r="P436" s="492">
        <v>12</v>
      </c>
      <c r="Q436" s="519">
        <v>0.0016666</v>
      </c>
      <c r="R436" s="201">
        <v>5133</v>
      </c>
      <c r="S436" s="201">
        <v>728</v>
      </c>
      <c r="T436" s="1277">
        <v>816.6333333333333</v>
      </c>
      <c r="U436" s="526">
        <v>1.245625</v>
      </c>
      <c r="V436" s="506">
        <v>7.120000000000001</v>
      </c>
      <c r="W436" s="506"/>
      <c r="X436" s="526">
        <v>0.0466648</v>
      </c>
      <c r="Y436" s="823">
        <v>7.120000000000001</v>
      </c>
      <c r="Z436" s="831">
        <v>25.797933333333336</v>
      </c>
      <c r="AA436" s="882">
        <v>0.3685419047619048</v>
      </c>
      <c r="AB436" s="826"/>
      <c r="AC436" s="939">
        <v>17.8</v>
      </c>
      <c r="AD436" s="826" t="s">
        <v>483</v>
      </c>
      <c r="AE436" s="826">
        <v>0</v>
      </c>
      <c r="AF436" s="804">
        <v>6109</v>
      </c>
    </row>
    <row r="437" spans="1:32" ht="14.25">
      <c r="A437" s="990">
        <v>6117</v>
      </c>
      <c r="B437" s="991"/>
      <c r="C437" s="991" t="s">
        <v>1006</v>
      </c>
      <c r="D437" s="1120">
        <v>60</v>
      </c>
      <c r="E437" s="1028">
        <v>15500</v>
      </c>
      <c r="F437" s="1035">
        <v>32</v>
      </c>
      <c r="G437" s="1121">
        <v>0.5</v>
      </c>
      <c r="H437" s="613">
        <v>27</v>
      </c>
      <c r="I437" s="613">
        <v>41</v>
      </c>
      <c r="J437" s="1031">
        <v>60</v>
      </c>
      <c r="K437" s="1032" t="s">
        <v>347</v>
      </c>
      <c r="L437" s="1251">
        <v>15</v>
      </c>
      <c r="M437" s="1232">
        <v>2500</v>
      </c>
      <c r="N437" s="1264">
        <v>0</v>
      </c>
      <c r="O437" s="815">
        <v>1</v>
      </c>
      <c r="P437" s="812">
        <v>16</v>
      </c>
      <c r="Q437" s="495"/>
      <c r="R437" s="201" t="s">
        <v>413</v>
      </c>
      <c r="S437" s="499"/>
      <c r="T437" s="1278">
        <v>1392.8333333333333</v>
      </c>
      <c r="U437" s="495"/>
      <c r="V437" s="613">
        <v>6.2</v>
      </c>
      <c r="W437" s="613"/>
      <c r="X437" s="495"/>
      <c r="Y437" s="827">
        <v>6.2</v>
      </c>
      <c r="Z437" s="828">
        <v>32.35527777777778</v>
      </c>
      <c r="AA437" s="881">
        <v>0.5392546296296297</v>
      </c>
      <c r="AB437" s="830"/>
      <c r="AC437" s="940">
        <v>31</v>
      </c>
      <c r="AD437" s="830" t="s">
        <v>483</v>
      </c>
      <c r="AE437" s="830">
        <v>0</v>
      </c>
      <c r="AF437" s="803">
        <v>6117</v>
      </c>
    </row>
    <row r="438" spans="1:32" ht="28.5">
      <c r="A438" s="154">
        <v>6110</v>
      </c>
      <c r="B438" s="992"/>
      <c r="C438" s="992" t="s">
        <v>1221</v>
      </c>
      <c r="D438" s="525">
        <v>60</v>
      </c>
      <c r="E438" s="504">
        <v>18000</v>
      </c>
      <c r="F438" s="612">
        <v>47</v>
      </c>
      <c r="G438" s="1122">
        <v>0.8</v>
      </c>
      <c r="H438" s="506">
        <v>40</v>
      </c>
      <c r="I438" s="506">
        <v>59</v>
      </c>
      <c r="J438" s="764">
        <v>50</v>
      </c>
      <c r="K438" s="145" t="s">
        <v>347</v>
      </c>
      <c r="L438" s="492">
        <v>15</v>
      </c>
      <c r="M438" s="780">
        <v>2000</v>
      </c>
      <c r="N438" s="500">
        <v>0</v>
      </c>
      <c r="O438" s="788">
        <v>1.15</v>
      </c>
      <c r="P438" s="492">
        <v>19</v>
      </c>
      <c r="Q438" s="603"/>
      <c r="R438" s="605" t="s">
        <v>413</v>
      </c>
      <c r="S438" s="606"/>
      <c r="T438" s="1277">
        <v>1620</v>
      </c>
      <c r="U438" s="604"/>
      <c r="V438" s="506">
        <v>10.35</v>
      </c>
      <c r="W438" s="506"/>
      <c r="X438" s="604"/>
      <c r="Y438" s="823">
        <v>10.35</v>
      </c>
      <c r="Z438" s="831">
        <v>47.025000000000006</v>
      </c>
      <c r="AA438" s="882">
        <v>0.7837500000000001</v>
      </c>
      <c r="AB438" s="826"/>
      <c r="AC438" s="939">
        <v>36</v>
      </c>
      <c r="AD438" s="826" t="s">
        <v>483</v>
      </c>
      <c r="AE438" s="826">
        <v>0</v>
      </c>
      <c r="AF438" s="804">
        <v>6110</v>
      </c>
    </row>
    <row r="439" spans="1:32" ht="14.25">
      <c r="A439" s="990">
        <v>6111</v>
      </c>
      <c r="B439" s="991"/>
      <c r="C439" s="991" t="s">
        <v>672</v>
      </c>
      <c r="D439" s="1120">
        <v>60</v>
      </c>
      <c r="E439" s="1028">
        <v>16000</v>
      </c>
      <c r="F439" s="1035">
        <v>46</v>
      </c>
      <c r="G439" s="1121">
        <v>0.8</v>
      </c>
      <c r="H439" s="613">
        <v>39</v>
      </c>
      <c r="I439" s="613">
        <v>56</v>
      </c>
      <c r="J439" s="1031">
        <v>50</v>
      </c>
      <c r="K439" s="1032" t="s">
        <v>347</v>
      </c>
      <c r="L439" s="1251">
        <v>15</v>
      </c>
      <c r="M439" s="1232">
        <v>2000</v>
      </c>
      <c r="N439" s="1264">
        <v>0</v>
      </c>
      <c r="O439" s="815">
        <v>1.55</v>
      </c>
      <c r="P439" s="812">
        <v>19</v>
      </c>
      <c r="Q439" s="495"/>
      <c r="R439" s="201" t="s">
        <v>413</v>
      </c>
      <c r="S439" s="201"/>
      <c r="T439" s="1278">
        <v>1452.6666666666667</v>
      </c>
      <c r="U439" s="495"/>
      <c r="V439" s="613">
        <v>12.4</v>
      </c>
      <c r="W439" s="613"/>
      <c r="X439" s="528"/>
      <c r="Y439" s="827">
        <v>12.4</v>
      </c>
      <c r="Z439" s="828">
        <v>45.598666666666674</v>
      </c>
      <c r="AA439" s="881">
        <v>0.7599777777777779</v>
      </c>
      <c r="AB439" s="830"/>
      <c r="AC439" s="940">
        <v>32</v>
      </c>
      <c r="AD439" s="830" t="s">
        <v>483</v>
      </c>
      <c r="AE439" s="830">
        <v>0</v>
      </c>
      <c r="AF439" s="803">
        <v>6111</v>
      </c>
    </row>
    <row r="440" spans="1:32" ht="14.25">
      <c r="A440" s="154">
        <v>6113</v>
      </c>
      <c r="B440" s="992"/>
      <c r="C440" s="992" t="s">
        <v>673</v>
      </c>
      <c r="D440" s="510" t="s">
        <v>347</v>
      </c>
      <c r="E440" s="504">
        <v>4400</v>
      </c>
      <c r="F440" s="612">
        <v>9</v>
      </c>
      <c r="G440" s="1053"/>
      <c r="H440" s="506">
        <v>8</v>
      </c>
      <c r="I440" s="506">
        <v>10.5</v>
      </c>
      <c r="J440" s="764">
        <v>120</v>
      </c>
      <c r="K440" s="145" t="s">
        <v>347</v>
      </c>
      <c r="L440" s="492">
        <v>12</v>
      </c>
      <c r="M440" s="780">
        <v>2000</v>
      </c>
      <c r="N440" s="500">
        <v>0</v>
      </c>
      <c r="O440" s="788">
        <v>1.6</v>
      </c>
      <c r="P440" s="492">
        <v>20</v>
      </c>
      <c r="Q440" s="630">
        <v>0.004</v>
      </c>
      <c r="R440" s="610">
        <v>4383</v>
      </c>
      <c r="S440" s="610">
        <v>483</v>
      </c>
      <c r="T440" s="1277">
        <v>561.4666666666667</v>
      </c>
      <c r="U440" s="638">
        <v>1.416</v>
      </c>
      <c r="V440" s="506">
        <v>3.5200000000000005</v>
      </c>
      <c r="W440" s="506"/>
      <c r="X440" s="638">
        <v>0.112</v>
      </c>
      <c r="Y440" s="823">
        <v>3.5200000000000005</v>
      </c>
      <c r="Z440" s="831">
        <v>9.01877777777778</v>
      </c>
      <c r="AA440" s="882"/>
      <c r="AB440" s="826"/>
      <c r="AC440" s="939">
        <v>8.8</v>
      </c>
      <c r="AD440" s="826" t="s">
        <v>483</v>
      </c>
      <c r="AE440" s="826">
        <v>0</v>
      </c>
      <c r="AF440" s="804">
        <v>6113</v>
      </c>
    </row>
    <row r="441" spans="1:32" ht="14.25">
      <c r="A441" s="990">
        <v>6114</v>
      </c>
      <c r="B441" s="991"/>
      <c r="C441" s="991" t="s">
        <v>1349</v>
      </c>
      <c r="D441" s="1040" t="s">
        <v>347</v>
      </c>
      <c r="E441" s="1028">
        <v>4700</v>
      </c>
      <c r="F441" s="1035">
        <v>10.5</v>
      </c>
      <c r="G441" s="1052"/>
      <c r="H441" s="613">
        <v>9</v>
      </c>
      <c r="I441" s="613">
        <v>12.5</v>
      </c>
      <c r="J441" s="1031">
        <v>120</v>
      </c>
      <c r="K441" s="1032" t="s">
        <v>347</v>
      </c>
      <c r="L441" s="1251">
        <v>12</v>
      </c>
      <c r="M441" s="1232">
        <v>2000</v>
      </c>
      <c r="N441" s="1264">
        <v>0</v>
      </c>
      <c r="O441" s="815">
        <v>1.55</v>
      </c>
      <c r="P441" s="812">
        <v>39</v>
      </c>
      <c r="Q441" s="519">
        <v>0.003333</v>
      </c>
      <c r="R441" s="201">
        <v>4967.4</v>
      </c>
      <c r="S441" s="201">
        <v>560</v>
      </c>
      <c r="T441" s="1278">
        <v>705.5666666666667</v>
      </c>
      <c r="U441" s="526">
        <v>1.4073499999999999</v>
      </c>
      <c r="V441" s="613">
        <v>3.6425</v>
      </c>
      <c r="W441" s="613"/>
      <c r="X441" s="526">
        <v>0.093324</v>
      </c>
      <c r="Y441" s="827">
        <v>3.6425</v>
      </c>
      <c r="Z441" s="828">
        <v>10.474444444444446</v>
      </c>
      <c r="AA441" s="881"/>
      <c r="AB441" s="830"/>
      <c r="AC441" s="940">
        <v>9.4</v>
      </c>
      <c r="AD441" s="830" t="s">
        <v>483</v>
      </c>
      <c r="AE441" s="830">
        <v>0</v>
      </c>
      <c r="AF441" s="803">
        <v>6114</v>
      </c>
    </row>
    <row r="442" spans="1:32" ht="14.25">
      <c r="A442" s="154">
        <v>6115</v>
      </c>
      <c r="B442" s="992"/>
      <c r="C442" s="992" t="s">
        <v>674</v>
      </c>
      <c r="D442" s="492" t="s">
        <v>347</v>
      </c>
      <c r="E442" s="504">
        <v>13000</v>
      </c>
      <c r="F442" s="612">
        <v>22</v>
      </c>
      <c r="G442" s="1033"/>
      <c r="H442" s="506">
        <v>19</v>
      </c>
      <c r="I442" s="506">
        <v>27</v>
      </c>
      <c r="J442" s="773">
        <v>120</v>
      </c>
      <c r="K442" s="145" t="s">
        <v>347</v>
      </c>
      <c r="L442" s="492">
        <v>12</v>
      </c>
      <c r="M442" s="780">
        <v>2000</v>
      </c>
      <c r="N442" s="500">
        <v>0</v>
      </c>
      <c r="O442" s="788">
        <v>1.2</v>
      </c>
      <c r="P442" s="492">
        <v>28</v>
      </c>
      <c r="Q442" s="630">
        <v>0.0025</v>
      </c>
      <c r="R442" s="610">
        <v>7207.6</v>
      </c>
      <c r="S442" s="610">
        <v>560</v>
      </c>
      <c r="T442" s="1277">
        <v>1472.3333333333333</v>
      </c>
      <c r="U442" s="638">
        <v>1.4392</v>
      </c>
      <c r="V442" s="506">
        <v>7.8</v>
      </c>
      <c r="W442" s="494"/>
      <c r="X442" s="638">
        <v>0.07</v>
      </c>
      <c r="Y442" s="823">
        <v>7.8</v>
      </c>
      <c r="Z442" s="831">
        <v>22.07638888888889</v>
      </c>
      <c r="AA442" s="850"/>
      <c r="AB442" s="826"/>
      <c r="AC442" s="939">
        <v>26</v>
      </c>
      <c r="AD442" s="826" t="s">
        <v>483</v>
      </c>
      <c r="AE442" s="826">
        <v>0</v>
      </c>
      <c r="AF442" s="804">
        <v>6115</v>
      </c>
    </row>
    <row r="443" spans="1:32" ht="28.5">
      <c r="A443" s="990">
        <v>6116</v>
      </c>
      <c r="B443" s="991"/>
      <c r="C443" s="991" t="s">
        <v>1007</v>
      </c>
      <c r="D443" s="1120">
        <v>12</v>
      </c>
      <c r="E443" s="1028">
        <v>42000</v>
      </c>
      <c r="F443" s="1035">
        <v>15</v>
      </c>
      <c r="G443" s="1121">
        <v>1.3</v>
      </c>
      <c r="H443" s="1130"/>
      <c r="I443" s="613">
        <v>17</v>
      </c>
      <c r="J443" s="1031">
        <v>700</v>
      </c>
      <c r="K443" s="1032" t="s">
        <v>347</v>
      </c>
      <c r="L443" s="1251">
        <v>12</v>
      </c>
      <c r="M443" s="1232">
        <v>10000</v>
      </c>
      <c r="N443" s="1264">
        <v>0</v>
      </c>
      <c r="O443" s="815">
        <v>1.8</v>
      </c>
      <c r="P443" s="812">
        <v>23</v>
      </c>
      <c r="Q443" s="519">
        <v>0.002</v>
      </c>
      <c r="R443" s="201">
        <v>7792</v>
      </c>
      <c r="S443" s="201">
        <v>560</v>
      </c>
      <c r="T443" s="1278">
        <v>4352</v>
      </c>
      <c r="U443" s="526">
        <v>1.3095384615384615</v>
      </c>
      <c r="V443" s="613">
        <v>7.5600000000000005</v>
      </c>
      <c r="W443" s="613"/>
      <c r="X443" s="526">
        <v>0.056</v>
      </c>
      <c r="Y443" s="827">
        <v>7.5600000000000005</v>
      </c>
      <c r="Z443" s="828">
        <v>15.154857142857145</v>
      </c>
      <c r="AA443" s="881">
        <v>1.262904761904762</v>
      </c>
      <c r="AB443" s="830"/>
      <c r="AC443" s="940">
        <v>84</v>
      </c>
      <c r="AD443" s="830" t="s">
        <v>483</v>
      </c>
      <c r="AE443" s="830">
        <v>0</v>
      </c>
      <c r="AF443" s="803">
        <v>6116</v>
      </c>
    </row>
    <row r="444" spans="1:32" ht="14.25">
      <c r="A444" s="154"/>
      <c r="B444" s="992"/>
      <c r="C444" s="992"/>
      <c r="D444" s="525"/>
      <c r="E444" s="504"/>
      <c r="F444" s="512"/>
      <c r="G444" s="1122"/>
      <c r="H444" s="1131"/>
      <c r="I444" s="506"/>
      <c r="J444" s="764"/>
      <c r="L444" s="492"/>
      <c r="M444" s="780"/>
      <c r="N444" s="500"/>
      <c r="O444" s="788" t="s">
        <v>413</v>
      </c>
      <c r="P444" s="492"/>
      <c r="Q444" s="630">
        <v>0.00166667</v>
      </c>
      <c r="R444" s="610">
        <v>8376.4</v>
      </c>
      <c r="S444" s="610">
        <v>560</v>
      </c>
      <c r="T444" s="1277" t="s">
        <v>413</v>
      </c>
      <c r="U444" s="638">
        <v>1.13855</v>
      </c>
      <c r="V444" s="506"/>
      <c r="W444" s="506"/>
      <c r="X444" s="638">
        <v>0.04666676</v>
      </c>
      <c r="Y444" s="823" t="s">
        <v>413</v>
      </c>
      <c r="Z444" s="831"/>
      <c r="AA444" s="882"/>
      <c r="AB444" s="826"/>
      <c r="AC444" s="939" t="s">
        <v>413</v>
      </c>
      <c r="AD444" s="826" t="s">
        <v>413</v>
      </c>
      <c r="AE444" s="826"/>
      <c r="AF444" s="804"/>
    </row>
    <row r="445" spans="1:32" ht="14.25">
      <c r="A445" s="987">
        <v>6130</v>
      </c>
      <c r="B445" s="988"/>
      <c r="C445" s="989" t="s">
        <v>675</v>
      </c>
      <c r="D445" s="1021"/>
      <c r="E445" s="1022"/>
      <c r="F445" s="1023"/>
      <c r="G445" s="1024"/>
      <c r="H445" s="1025"/>
      <c r="I445" s="1025"/>
      <c r="J445" s="1026"/>
      <c r="K445" s="1026"/>
      <c r="L445" s="1021"/>
      <c r="M445" s="1026"/>
      <c r="N445" s="1263" t="s">
        <v>413</v>
      </c>
      <c r="O445" s="816" t="s">
        <v>413</v>
      </c>
      <c r="P445" s="809"/>
      <c r="Q445" s="507"/>
      <c r="R445" s="201" t="s">
        <v>413</v>
      </c>
      <c r="S445" s="201"/>
      <c r="T445" s="1276" t="s">
        <v>413</v>
      </c>
      <c r="U445" s="528"/>
      <c r="V445" s="1025"/>
      <c r="W445" s="1025"/>
      <c r="X445" s="528"/>
      <c r="Y445" s="833" t="s">
        <v>413</v>
      </c>
      <c r="Z445" s="820"/>
      <c r="AA445" s="821"/>
      <c r="AB445" s="822"/>
      <c r="AC445" s="938" t="s">
        <v>413</v>
      </c>
      <c r="AD445" s="822" t="s">
        <v>413</v>
      </c>
      <c r="AE445" s="822"/>
      <c r="AF445" s="801">
        <v>6130</v>
      </c>
    </row>
    <row r="446" spans="1:32" ht="14.25">
      <c r="A446" s="496"/>
      <c r="B446" s="761"/>
      <c r="C446" s="496"/>
      <c r="D446" s="510"/>
      <c r="E446" s="504"/>
      <c r="F446" s="509"/>
      <c r="G446" s="1053"/>
      <c r="H446" s="506"/>
      <c r="I446" s="506"/>
      <c r="J446" s="764"/>
      <c r="K446" s="495"/>
      <c r="L446" s="496"/>
      <c r="M446" s="764"/>
      <c r="N446" s="500" t="s">
        <v>413</v>
      </c>
      <c r="O446" s="788" t="s">
        <v>413</v>
      </c>
      <c r="P446" s="810"/>
      <c r="Q446" s="603"/>
      <c r="R446" s="605" t="s">
        <v>413</v>
      </c>
      <c r="S446" s="606"/>
      <c r="T446" s="1277" t="s">
        <v>413</v>
      </c>
      <c r="U446" s="604"/>
      <c r="V446" s="506"/>
      <c r="W446" s="506"/>
      <c r="X446" s="604"/>
      <c r="Y446" s="823" t="s">
        <v>413</v>
      </c>
      <c r="Z446" s="831"/>
      <c r="AA446" s="866"/>
      <c r="AB446" s="802"/>
      <c r="AC446" s="939" t="s">
        <v>413</v>
      </c>
      <c r="AD446" s="826" t="s">
        <v>413</v>
      </c>
      <c r="AE446" s="826"/>
      <c r="AF446" s="802"/>
    </row>
    <row r="447" spans="1:32" ht="14.25">
      <c r="A447" s="990">
        <v>6131</v>
      </c>
      <c r="B447" s="991"/>
      <c r="C447" s="991" t="s">
        <v>676</v>
      </c>
      <c r="D447" s="1120">
        <v>60</v>
      </c>
      <c r="E447" s="1028">
        <v>2900</v>
      </c>
      <c r="F447" s="1041">
        <v>19</v>
      </c>
      <c r="G447" s="1123">
        <v>0.3</v>
      </c>
      <c r="H447" s="638">
        <v>0.3</v>
      </c>
      <c r="I447" s="638">
        <v>0.4</v>
      </c>
      <c r="J447" s="1124">
        <v>2200</v>
      </c>
      <c r="K447" s="1032" t="s">
        <v>347</v>
      </c>
      <c r="L447" s="1251">
        <v>12</v>
      </c>
      <c r="M447" s="1165">
        <v>35000</v>
      </c>
      <c r="N447" s="1264">
        <v>0.1</v>
      </c>
      <c r="O447" s="815">
        <v>1.6</v>
      </c>
      <c r="P447" s="812">
        <v>10</v>
      </c>
      <c r="Q447" s="507"/>
      <c r="R447" s="201" t="s">
        <v>413</v>
      </c>
      <c r="S447" s="201"/>
      <c r="T447" s="1278">
        <v>329.7</v>
      </c>
      <c r="U447" s="506"/>
      <c r="V447" s="638">
        <v>0.13257142857142856</v>
      </c>
      <c r="W447" s="613"/>
      <c r="X447" s="506"/>
      <c r="Y447" s="883">
        <v>0.13257142857142856</v>
      </c>
      <c r="Z447" s="886"/>
      <c r="AA447" s="828">
        <v>0.31067857142857147</v>
      </c>
      <c r="AB447" s="830"/>
      <c r="AC447" s="940">
        <v>5.8</v>
      </c>
      <c r="AD447" s="830" t="s">
        <v>176</v>
      </c>
      <c r="AE447" s="830">
        <v>0</v>
      </c>
      <c r="AF447" s="803">
        <v>6131</v>
      </c>
    </row>
    <row r="448" spans="1:32" ht="14.25">
      <c r="A448" s="154">
        <v>6132</v>
      </c>
      <c r="B448" s="992"/>
      <c r="C448" s="992" t="s">
        <v>677</v>
      </c>
      <c r="D448" s="525">
        <v>60</v>
      </c>
      <c r="E448" s="504">
        <v>3700</v>
      </c>
      <c r="F448" s="509">
        <v>23</v>
      </c>
      <c r="G448" s="1125">
        <v>0.4</v>
      </c>
      <c r="H448" s="526">
        <v>0.3</v>
      </c>
      <c r="I448" s="526">
        <v>0.4</v>
      </c>
      <c r="J448" s="771">
        <v>2200</v>
      </c>
      <c r="K448" s="145" t="s">
        <v>347</v>
      </c>
      <c r="L448" s="492">
        <v>12</v>
      </c>
      <c r="M448" s="784">
        <v>35000</v>
      </c>
      <c r="N448" s="500">
        <v>0.1</v>
      </c>
      <c r="O448" s="788">
        <v>1.5</v>
      </c>
      <c r="P448" s="492">
        <v>10</v>
      </c>
      <c r="Q448" s="609">
        <v>0.05</v>
      </c>
      <c r="R448" s="610">
        <v>254.23333333333335</v>
      </c>
      <c r="S448" s="610">
        <v>63</v>
      </c>
      <c r="T448" s="1277">
        <v>404.09999999999997</v>
      </c>
      <c r="U448" s="608">
        <v>10.767777777777779</v>
      </c>
      <c r="V448" s="526">
        <v>0.15857142857142859</v>
      </c>
      <c r="W448" s="506"/>
      <c r="X448" s="608">
        <v>1.4000000000000001</v>
      </c>
      <c r="Y448" s="884">
        <v>0.15857142857142859</v>
      </c>
      <c r="Z448" s="865"/>
      <c r="AA448" s="831">
        <v>0.37647857142857144</v>
      </c>
      <c r="AB448" s="826"/>
      <c r="AC448" s="939">
        <v>7.4</v>
      </c>
      <c r="AD448" s="826" t="s">
        <v>176</v>
      </c>
      <c r="AE448" s="826">
        <v>0</v>
      </c>
      <c r="AF448" s="804">
        <v>6132</v>
      </c>
    </row>
    <row r="449" spans="1:32" ht="14.25">
      <c r="A449" s="990">
        <v>6133</v>
      </c>
      <c r="B449" s="991"/>
      <c r="C449" s="991" t="s">
        <v>678</v>
      </c>
      <c r="D449" s="1120">
        <v>60</v>
      </c>
      <c r="E449" s="1028">
        <v>5300</v>
      </c>
      <c r="F449" s="1041">
        <v>31</v>
      </c>
      <c r="G449" s="1123">
        <v>0.5</v>
      </c>
      <c r="H449" s="638">
        <v>0.5</v>
      </c>
      <c r="I449" s="638">
        <v>0.6</v>
      </c>
      <c r="J449" s="1124">
        <v>2200</v>
      </c>
      <c r="K449" s="1032" t="s">
        <v>347</v>
      </c>
      <c r="L449" s="1251">
        <v>12</v>
      </c>
      <c r="M449" s="1165">
        <v>35000</v>
      </c>
      <c r="N449" s="1264">
        <v>0.1</v>
      </c>
      <c r="O449" s="815">
        <v>1.4</v>
      </c>
      <c r="P449" s="812">
        <v>10</v>
      </c>
      <c r="Q449" s="507">
        <v>0.1</v>
      </c>
      <c r="R449" s="201">
        <v>1227.3333333333335</v>
      </c>
      <c r="S449" s="201">
        <v>63</v>
      </c>
      <c r="T449" s="1278">
        <v>552.9</v>
      </c>
      <c r="U449" s="506">
        <v>26.36666666666667</v>
      </c>
      <c r="V449" s="638">
        <v>0.212</v>
      </c>
      <c r="W449" s="613"/>
      <c r="X449" s="506">
        <v>2.8000000000000003</v>
      </c>
      <c r="Y449" s="883">
        <v>0.212</v>
      </c>
      <c r="Z449" s="886"/>
      <c r="AA449" s="828">
        <v>0.50965</v>
      </c>
      <c r="AB449" s="830"/>
      <c r="AC449" s="940">
        <v>10.6</v>
      </c>
      <c r="AD449" s="830" t="s">
        <v>176</v>
      </c>
      <c r="AE449" s="830">
        <v>0</v>
      </c>
      <c r="AF449" s="803">
        <v>6133</v>
      </c>
    </row>
    <row r="450" spans="1:32" ht="14.25">
      <c r="A450" s="154">
        <v>6134</v>
      </c>
      <c r="B450" s="992"/>
      <c r="C450" s="992" t="s">
        <v>679</v>
      </c>
      <c r="D450" s="525">
        <v>60</v>
      </c>
      <c r="E450" s="504">
        <v>19000</v>
      </c>
      <c r="F450" s="509"/>
      <c r="G450" s="1125">
        <v>1.2</v>
      </c>
      <c r="H450" s="526">
        <v>1</v>
      </c>
      <c r="I450" s="526">
        <v>1.5</v>
      </c>
      <c r="J450" s="771">
        <v>2500</v>
      </c>
      <c r="K450" s="145" t="s">
        <v>347</v>
      </c>
      <c r="L450" s="492">
        <v>12</v>
      </c>
      <c r="M450" s="784">
        <v>45000</v>
      </c>
      <c r="N450" s="500">
        <v>0.1</v>
      </c>
      <c r="O450" s="788">
        <v>0.5</v>
      </c>
      <c r="P450" s="492">
        <v>72</v>
      </c>
      <c r="Q450" s="609">
        <v>0.1</v>
      </c>
      <c r="R450" s="610">
        <v>1315</v>
      </c>
      <c r="S450" s="610">
        <v>77</v>
      </c>
      <c r="T450" s="1277">
        <v>2199</v>
      </c>
      <c r="U450" s="608">
        <v>28.44</v>
      </c>
      <c r="V450" s="526">
        <v>0.2111111111111111</v>
      </c>
      <c r="W450" s="506"/>
      <c r="X450" s="608">
        <v>2.8000000000000003</v>
      </c>
      <c r="Y450" s="884">
        <v>0.2111111111111111</v>
      </c>
      <c r="Z450" s="865"/>
      <c r="AA450" s="831">
        <v>1.1997822222222223</v>
      </c>
      <c r="AB450" s="826"/>
      <c r="AC450" s="939">
        <v>38</v>
      </c>
      <c r="AD450" s="826" t="s">
        <v>176</v>
      </c>
      <c r="AE450" s="826">
        <v>0</v>
      </c>
      <c r="AF450" s="804">
        <v>6134</v>
      </c>
    </row>
    <row r="451" spans="1:32" ht="14.25">
      <c r="A451" s="990">
        <v>6135</v>
      </c>
      <c r="B451" s="991"/>
      <c r="C451" s="991" t="s">
        <v>680</v>
      </c>
      <c r="D451" s="1120">
        <v>60</v>
      </c>
      <c r="E451" s="1028">
        <v>22500</v>
      </c>
      <c r="F451" s="1041"/>
      <c r="G451" s="1123">
        <v>1.2</v>
      </c>
      <c r="H451" s="638">
        <v>1</v>
      </c>
      <c r="I451" s="638">
        <v>1.5</v>
      </c>
      <c r="J451" s="1124">
        <v>3200</v>
      </c>
      <c r="K451" s="1032" t="s">
        <v>347</v>
      </c>
      <c r="L451" s="1251">
        <v>12</v>
      </c>
      <c r="M451" s="1165">
        <v>50000</v>
      </c>
      <c r="N451" s="1264">
        <v>0.1</v>
      </c>
      <c r="O451" s="815">
        <v>0.6</v>
      </c>
      <c r="P451" s="812">
        <v>92</v>
      </c>
      <c r="Q451" s="507">
        <v>0.1</v>
      </c>
      <c r="R451" s="201">
        <v>2498.5</v>
      </c>
      <c r="S451" s="201">
        <v>77</v>
      </c>
      <c r="T451" s="1278">
        <v>2644.5</v>
      </c>
      <c r="U451" s="506">
        <v>43.875</v>
      </c>
      <c r="V451" s="638">
        <v>0.27</v>
      </c>
      <c r="W451" s="613"/>
      <c r="X451" s="506">
        <v>2.8000000000000003</v>
      </c>
      <c r="Y451" s="883">
        <v>0.27</v>
      </c>
      <c r="Z451" s="886"/>
      <c r="AA451" s="828">
        <v>1.2060468750000002</v>
      </c>
      <c r="AB451" s="830"/>
      <c r="AC451" s="940">
        <v>45</v>
      </c>
      <c r="AD451" s="830" t="s">
        <v>176</v>
      </c>
      <c r="AE451" s="830">
        <v>0</v>
      </c>
      <c r="AF451" s="803">
        <v>6135</v>
      </c>
    </row>
    <row r="452" spans="1:32" ht="14.25">
      <c r="A452" s="154">
        <v>6136</v>
      </c>
      <c r="B452" s="992"/>
      <c r="C452" s="992" t="s">
        <v>681</v>
      </c>
      <c r="D452" s="525">
        <v>60</v>
      </c>
      <c r="E452" s="504">
        <v>27000</v>
      </c>
      <c r="F452" s="509"/>
      <c r="G452" s="1125">
        <v>1.2</v>
      </c>
      <c r="H452" s="526">
        <v>1</v>
      </c>
      <c r="I452" s="526">
        <v>1.5</v>
      </c>
      <c r="J452" s="771">
        <v>4000</v>
      </c>
      <c r="K452" s="145" t="s">
        <v>347</v>
      </c>
      <c r="L452" s="492">
        <v>12</v>
      </c>
      <c r="M452" s="784">
        <v>60000</v>
      </c>
      <c r="N452" s="500">
        <v>0.1</v>
      </c>
      <c r="O452" s="788">
        <v>0.6</v>
      </c>
      <c r="P452" s="492">
        <v>111</v>
      </c>
      <c r="Q452" s="609">
        <v>0.1</v>
      </c>
      <c r="R452" s="610">
        <v>1928.6666666666667</v>
      </c>
      <c r="S452" s="610">
        <v>91</v>
      </c>
      <c r="T452" s="1277">
        <v>3177</v>
      </c>
      <c r="U452" s="608">
        <v>41.27333333333334</v>
      </c>
      <c r="V452" s="526">
        <v>0.27</v>
      </c>
      <c r="W452" s="506"/>
      <c r="X452" s="608">
        <v>2.8000000000000003</v>
      </c>
      <c r="Y452" s="884">
        <v>0.27</v>
      </c>
      <c r="Z452" s="865"/>
      <c r="AA452" s="831">
        <v>1.170675</v>
      </c>
      <c r="AB452" s="826"/>
      <c r="AC452" s="939">
        <v>54</v>
      </c>
      <c r="AD452" s="826" t="s">
        <v>176</v>
      </c>
      <c r="AE452" s="826">
        <v>0</v>
      </c>
      <c r="AF452" s="804">
        <v>6136</v>
      </c>
    </row>
    <row r="453" spans="1:32" ht="14.25">
      <c r="A453" s="496"/>
      <c r="B453" s="761"/>
      <c r="C453" s="496"/>
      <c r="D453" s="529"/>
      <c r="E453" s="504"/>
      <c r="F453" s="509"/>
      <c r="G453" s="1128"/>
      <c r="H453" s="528"/>
      <c r="I453" s="528"/>
      <c r="J453" s="772"/>
      <c r="K453" s="495"/>
      <c r="L453" s="496"/>
      <c r="M453" s="772"/>
      <c r="N453" s="500" t="s">
        <v>413</v>
      </c>
      <c r="O453" s="788" t="s">
        <v>413</v>
      </c>
      <c r="P453" s="810"/>
      <c r="Q453" s="507">
        <v>0.1</v>
      </c>
      <c r="R453" s="201">
        <v>789</v>
      </c>
      <c r="S453" s="201">
        <v>84</v>
      </c>
      <c r="T453" s="1277" t="s">
        <v>413</v>
      </c>
      <c r="U453" s="506">
        <v>17.82</v>
      </c>
      <c r="V453" s="528"/>
      <c r="W453" s="506"/>
      <c r="X453" s="506">
        <v>2.8000000000000003</v>
      </c>
      <c r="Y453" s="823" t="s">
        <v>413</v>
      </c>
      <c r="Z453" s="831"/>
      <c r="AA453" s="885"/>
      <c r="AB453" s="802"/>
      <c r="AC453" s="939" t="s">
        <v>413</v>
      </c>
      <c r="AD453" s="826" t="s">
        <v>413</v>
      </c>
      <c r="AE453" s="826"/>
      <c r="AF453" s="802"/>
    </row>
    <row r="454" spans="1:32" ht="14.25">
      <c r="A454" s="987">
        <v>6150</v>
      </c>
      <c r="B454" s="988"/>
      <c r="C454" s="989" t="s">
        <v>682</v>
      </c>
      <c r="D454" s="1021"/>
      <c r="E454" s="1022"/>
      <c r="F454" s="1023"/>
      <c r="G454" s="1024"/>
      <c r="H454" s="1025"/>
      <c r="I454" s="1025"/>
      <c r="J454" s="1026"/>
      <c r="K454" s="1026"/>
      <c r="L454" s="1021"/>
      <c r="M454" s="1026"/>
      <c r="N454" s="1263" t="s">
        <v>413</v>
      </c>
      <c r="O454" s="816" t="s">
        <v>413</v>
      </c>
      <c r="P454" s="809"/>
      <c r="Q454" s="609">
        <v>0.05</v>
      </c>
      <c r="R454" s="610">
        <v>1420.2</v>
      </c>
      <c r="S454" s="610">
        <v>112</v>
      </c>
      <c r="T454" s="1276" t="s">
        <v>413</v>
      </c>
      <c r="U454" s="608">
        <v>26.076666666666668</v>
      </c>
      <c r="V454" s="1025"/>
      <c r="W454" s="1025"/>
      <c r="X454" s="608">
        <v>1.4000000000000001</v>
      </c>
      <c r="Y454" s="833" t="s">
        <v>413</v>
      </c>
      <c r="Z454" s="820"/>
      <c r="AA454" s="821"/>
      <c r="AB454" s="822"/>
      <c r="AC454" s="938" t="s">
        <v>413</v>
      </c>
      <c r="AD454" s="822" t="s">
        <v>413</v>
      </c>
      <c r="AE454" s="822"/>
      <c r="AF454" s="801">
        <v>6150</v>
      </c>
    </row>
    <row r="455" spans="1:32" ht="14.25">
      <c r="A455" s="496"/>
      <c r="B455" s="761"/>
      <c r="C455" s="496"/>
      <c r="D455" s="530"/>
      <c r="E455" s="504"/>
      <c r="F455" s="509"/>
      <c r="G455" s="1053"/>
      <c r="H455" s="506"/>
      <c r="I455" s="506"/>
      <c r="J455" s="764"/>
      <c r="K455" s="495"/>
      <c r="L455" s="496"/>
      <c r="M455" s="764"/>
      <c r="N455" s="500" t="s">
        <v>413</v>
      </c>
      <c r="O455" s="788" t="s">
        <v>413</v>
      </c>
      <c r="P455" s="810"/>
      <c r="Q455" s="507">
        <v>0.05</v>
      </c>
      <c r="R455" s="201">
        <v>1490.3333333333333</v>
      </c>
      <c r="S455" s="201">
        <v>133</v>
      </c>
      <c r="T455" s="1277" t="s">
        <v>413</v>
      </c>
      <c r="U455" s="506">
        <v>33.14666666666667</v>
      </c>
      <c r="V455" s="506"/>
      <c r="W455" s="506"/>
      <c r="X455" s="506">
        <v>1.4000000000000001</v>
      </c>
      <c r="Y455" s="823" t="s">
        <v>413</v>
      </c>
      <c r="Z455" s="831"/>
      <c r="AA455" s="866"/>
      <c r="AB455" s="802"/>
      <c r="AC455" s="939" t="s">
        <v>413</v>
      </c>
      <c r="AD455" s="826" t="s">
        <v>413</v>
      </c>
      <c r="AE455" s="826"/>
      <c r="AF455" s="802"/>
    </row>
    <row r="456" spans="1:32" ht="14.25">
      <c r="A456" s="990">
        <v>6151</v>
      </c>
      <c r="B456" s="991"/>
      <c r="C456" s="991" t="s">
        <v>683</v>
      </c>
      <c r="D456" s="1120">
        <v>25</v>
      </c>
      <c r="E456" s="1028">
        <v>1900</v>
      </c>
      <c r="F456" s="1041"/>
      <c r="G456" s="1123">
        <v>0.2</v>
      </c>
      <c r="H456" s="638">
        <v>0.2</v>
      </c>
      <c r="I456" s="638">
        <v>0.3</v>
      </c>
      <c r="J456" s="1124">
        <v>2000</v>
      </c>
      <c r="K456" s="1032" t="s">
        <v>347</v>
      </c>
      <c r="L456" s="1251">
        <v>8</v>
      </c>
      <c r="M456" s="1165">
        <v>25000</v>
      </c>
      <c r="N456" s="1264">
        <v>0</v>
      </c>
      <c r="O456" s="1270">
        <v>1.05</v>
      </c>
      <c r="P456" s="812"/>
      <c r="Q456" s="609">
        <v>0.1</v>
      </c>
      <c r="R456" s="610">
        <v>1139.6666666666665</v>
      </c>
      <c r="S456" s="610">
        <v>133</v>
      </c>
      <c r="T456" s="1278">
        <v>269.8</v>
      </c>
      <c r="U456" s="608">
        <v>25.97333333333333</v>
      </c>
      <c r="V456" s="638">
        <v>0.0798</v>
      </c>
      <c r="W456" s="613"/>
      <c r="X456" s="608">
        <v>2.8000000000000003</v>
      </c>
      <c r="Y456" s="883">
        <v>0.0798</v>
      </c>
      <c r="Z456" s="828"/>
      <c r="AA456" s="828">
        <v>0.23617000000000002</v>
      </c>
      <c r="AB456" s="830"/>
      <c r="AC456" s="940">
        <v>3.8000000000000003</v>
      </c>
      <c r="AD456" s="830" t="s">
        <v>176</v>
      </c>
      <c r="AE456" s="830">
        <v>0</v>
      </c>
      <c r="AF456" s="803">
        <v>6151</v>
      </c>
    </row>
    <row r="457" spans="1:32" ht="14.25">
      <c r="A457" s="154">
        <v>6152</v>
      </c>
      <c r="B457" s="992"/>
      <c r="C457" s="992" t="s">
        <v>684</v>
      </c>
      <c r="D457" s="525">
        <v>60</v>
      </c>
      <c r="E457" s="504">
        <v>8800</v>
      </c>
      <c r="F457" s="509"/>
      <c r="G457" s="1125">
        <v>0.7</v>
      </c>
      <c r="H457" s="526">
        <v>0.6</v>
      </c>
      <c r="I457" s="526">
        <v>0.9</v>
      </c>
      <c r="J457" s="771">
        <v>2400</v>
      </c>
      <c r="K457" s="145" t="s">
        <v>347</v>
      </c>
      <c r="L457" s="492">
        <v>8</v>
      </c>
      <c r="M457" s="784">
        <v>35000</v>
      </c>
      <c r="N457" s="500">
        <v>0</v>
      </c>
      <c r="O457" s="1269">
        <v>0.4</v>
      </c>
      <c r="P457" s="492">
        <v>13</v>
      </c>
      <c r="Q457" s="507">
        <v>0.05</v>
      </c>
      <c r="R457" s="201">
        <v>500.8</v>
      </c>
      <c r="S457" s="201">
        <v>140</v>
      </c>
      <c r="T457" s="1277">
        <v>1327.6</v>
      </c>
      <c r="U457" s="506">
        <v>5.42</v>
      </c>
      <c r="V457" s="526">
        <v>0.10057142857142859</v>
      </c>
      <c r="W457" s="506"/>
      <c r="X457" s="506">
        <v>1.4000000000000001</v>
      </c>
      <c r="Y457" s="884">
        <v>0.10057142857142859</v>
      </c>
      <c r="Z457" s="831"/>
      <c r="AA457" s="831">
        <v>0.7191119047619047</v>
      </c>
      <c r="AB457" s="826"/>
      <c r="AC457" s="939">
        <v>17.6</v>
      </c>
      <c r="AD457" s="826" t="s">
        <v>176</v>
      </c>
      <c r="AE457" s="826">
        <v>0</v>
      </c>
      <c r="AF457" s="804">
        <v>6152</v>
      </c>
    </row>
    <row r="458" spans="1:32" ht="14.25">
      <c r="A458" s="990">
        <v>6153</v>
      </c>
      <c r="B458" s="991"/>
      <c r="C458" s="991" t="s">
        <v>685</v>
      </c>
      <c r="D458" s="1120">
        <v>60</v>
      </c>
      <c r="E458" s="1028">
        <v>16000</v>
      </c>
      <c r="F458" s="1041"/>
      <c r="G458" s="1123">
        <v>1.1</v>
      </c>
      <c r="H458" s="638">
        <v>0.9</v>
      </c>
      <c r="I458" s="638">
        <v>1.4</v>
      </c>
      <c r="J458" s="1124">
        <v>2800</v>
      </c>
      <c r="K458" s="1032" t="s">
        <v>347</v>
      </c>
      <c r="L458" s="1251">
        <v>8</v>
      </c>
      <c r="M458" s="1165">
        <v>35000</v>
      </c>
      <c r="N458" s="1264">
        <v>0</v>
      </c>
      <c r="O458" s="1270">
        <v>0.35</v>
      </c>
      <c r="P458" s="812">
        <v>20</v>
      </c>
      <c r="Q458" s="609">
        <v>0.05</v>
      </c>
      <c r="R458" s="610">
        <v>490.3666666666667</v>
      </c>
      <c r="S458" s="610">
        <v>273</v>
      </c>
      <c r="T458" s="1278">
        <v>2392</v>
      </c>
      <c r="U458" s="608">
        <v>6.439722222222222</v>
      </c>
      <c r="V458" s="638">
        <v>0.15999999999999998</v>
      </c>
      <c r="W458" s="613"/>
      <c r="X458" s="608">
        <v>1.4000000000000001</v>
      </c>
      <c r="Y458" s="883">
        <v>0.15999999999999998</v>
      </c>
      <c r="Z458" s="828"/>
      <c r="AA458" s="828">
        <v>1.1157142857142857</v>
      </c>
      <c r="AB458" s="830"/>
      <c r="AC458" s="940">
        <v>32</v>
      </c>
      <c r="AD458" s="830" t="s">
        <v>176</v>
      </c>
      <c r="AE458" s="830">
        <v>0</v>
      </c>
      <c r="AF458" s="803">
        <v>6153</v>
      </c>
    </row>
    <row r="459" spans="1:32" ht="14.25">
      <c r="A459" s="154">
        <v>6154</v>
      </c>
      <c r="B459" s="992"/>
      <c r="C459" s="992" t="s">
        <v>686</v>
      </c>
      <c r="D459" s="525">
        <v>90</v>
      </c>
      <c r="E459" s="504">
        <v>12000</v>
      </c>
      <c r="F459" s="509"/>
      <c r="G459" s="1125">
        <v>0.7</v>
      </c>
      <c r="H459" s="526">
        <v>0.6</v>
      </c>
      <c r="I459" s="526">
        <v>0.9</v>
      </c>
      <c r="J459" s="771">
        <v>3200</v>
      </c>
      <c r="K459" s="145" t="s">
        <v>347</v>
      </c>
      <c r="L459" s="492">
        <v>8</v>
      </c>
      <c r="M459" s="784">
        <v>45000</v>
      </c>
      <c r="N459" s="500">
        <v>0</v>
      </c>
      <c r="O459" s="1269">
        <v>0.35</v>
      </c>
      <c r="P459" s="492">
        <v>15</v>
      </c>
      <c r="Q459" s="507">
        <v>0.05</v>
      </c>
      <c r="R459" s="201">
        <v>1199.8333333333335</v>
      </c>
      <c r="S459" s="201">
        <v>196</v>
      </c>
      <c r="T459" s="1277">
        <v>1794</v>
      </c>
      <c r="U459" s="506">
        <v>11.823611111111113</v>
      </c>
      <c r="V459" s="526">
        <v>0.09333333333333332</v>
      </c>
      <c r="W459" s="506"/>
      <c r="X459" s="506">
        <v>1.4000000000000001</v>
      </c>
      <c r="Y459" s="884">
        <v>0.09333333333333332</v>
      </c>
      <c r="Z459" s="831"/>
      <c r="AA459" s="831">
        <v>0.7193541666666668</v>
      </c>
      <c r="AB459" s="826"/>
      <c r="AC459" s="939">
        <v>24</v>
      </c>
      <c r="AD459" s="826" t="s">
        <v>176</v>
      </c>
      <c r="AE459" s="826">
        <v>0</v>
      </c>
      <c r="AF459" s="804">
        <v>6154</v>
      </c>
    </row>
    <row r="460" spans="1:32" ht="14.25">
      <c r="A460" s="990">
        <v>6155</v>
      </c>
      <c r="B460" s="991"/>
      <c r="C460" s="991" t="s">
        <v>687</v>
      </c>
      <c r="D460" s="1120">
        <v>90</v>
      </c>
      <c r="E460" s="1028">
        <v>21000</v>
      </c>
      <c r="F460" s="1041"/>
      <c r="G460" s="1123">
        <v>1</v>
      </c>
      <c r="H460" s="638">
        <v>0.8</v>
      </c>
      <c r="I460" s="638">
        <v>1.3</v>
      </c>
      <c r="J460" s="1124">
        <v>4000</v>
      </c>
      <c r="K460" s="1032" t="s">
        <v>347</v>
      </c>
      <c r="L460" s="1251">
        <v>8</v>
      </c>
      <c r="M460" s="1165">
        <v>45000</v>
      </c>
      <c r="N460" s="1264">
        <v>0</v>
      </c>
      <c r="O460" s="1270">
        <v>0.3</v>
      </c>
      <c r="P460" s="812">
        <v>24</v>
      </c>
      <c r="Q460" s="609">
        <v>0.05</v>
      </c>
      <c r="R460" s="610">
        <v>4695</v>
      </c>
      <c r="S460" s="610">
        <v>161</v>
      </c>
      <c r="T460" s="1278">
        <v>3126</v>
      </c>
      <c r="U460" s="608">
        <v>7.065714285714286</v>
      </c>
      <c r="V460" s="638">
        <v>0.13999999999999999</v>
      </c>
      <c r="W460" s="613"/>
      <c r="X460" s="608">
        <v>1.4000000000000001</v>
      </c>
      <c r="Y460" s="883">
        <v>0.13999999999999999</v>
      </c>
      <c r="Z460" s="828"/>
      <c r="AA460" s="828">
        <v>1.0136500000000002</v>
      </c>
      <c r="AB460" s="830"/>
      <c r="AC460" s="940">
        <v>42</v>
      </c>
      <c r="AD460" s="830" t="s">
        <v>176</v>
      </c>
      <c r="AE460" s="830">
        <v>0</v>
      </c>
      <c r="AF460" s="803">
        <v>6155</v>
      </c>
    </row>
    <row r="461" spans="1:32" ht="14.25">
      <c r="A461" s="154">
        <v>6156</v>
      </c>
      <c r="B461" s="992"/>
      <c r="C461" s="992" t="s">
        <v>688</v>
      </c>
      <c r="D461" s="510" t="s">
        <v>347</v>
      </c>
      <c r="E461" s="504">
        <v>1300</v>
      </c>
      <c r="F461" s="612">
        <v>2.9</v>
      </c>
      <c r="G461" s="1053"/>
      <c r="H461" s="506">
        <v>2.6</v>
      </c>
      <c r="I461" s="506">
        <v>3.4</v>
      </c>
      <c r="J461" s="764">
        <v>80</v>
      </c>
      <c r="K461" s="145" t="s">
        <v>347</v>
      </c>
      <c r="L461" s="492">
        <v>15</v>
      </c>
      <c r="M461" s="780">
        <v>2000</v>
      </c>
      <c r="N461" s="500">
        <v>0</v>
      </c>
      <c r="O461" s="1269">
        <v>1.9</v>
      </c>
      <c r="P461" s="492"/>
      <c r="Q461" s="507"/>
      <c r="R461" s="201" t="s">
        <v>413</v>
      </c>
      <c r="S461" s="201"/>
      <c r="T461" s="1277">
        <v>108.76666666666667</v>
      </c>
      <c r="U461" s="506"/>
      <c r="V461" s="506">
        <v>1.2349999999999999</v>
      </c>
      <c r="W461" s="506"/>
      <c r="X461" s="506"/>
      <c r="Y461" s="823">
        <v>1.2349999999999999</v>
      </c>
      <c r="Z461" s="831">
        <v>2.8540416666666673</v>
      </c>
      <c r="AA461" s="866"/>
      <c r="AB461" s="826"/>
      <c r="AC461" s="939">
        <v>2.6</v>
      </c>
      <c r="AD461" s="826" t="s">
        <v>483</v>
      </c>
      <c r="AE461" s="826">
        <v>0</v>
      </c>
      <c r="AF461" s="804">
        <v>6156</v>
      </c>
    </row>
    <row r="462" spans="1:32" ht="14.25">
      <c r="A462" s="990">
        <v>6157</v>
      </c>
      <c r="B462" s="991"/>
      <c r="C462" s="991" t="s">
        <v>689</v>
      </c>
      <c r="D462" s="1040" t="s">
        <v>347</v>
      </c>
      <c r="E462" s="1028">
        <v>22000</v>
      </c>
      <c r="F462" s="1035">
        <v>31</v>
      </c>
      <c r="G462" s="1052"/>
      <c r="H462" s="613">
        <v>26</v>
      </c>
      <c r="I462" s="613">
        <v>41</v>
      </c>
      <c r="J462" s="1031">
        <v>80</v>
      </c>
      <c r="K462" s="1032" t="s">
        <v>347</v>
      </c>
      <c r="L462" s="1251">
        <v>15</v>
      </c>
      <c r="M462" s="1232">
        <v>2000</v>
      </c>
      <c r="N462" s="1264">
        <v>0</v>
      </c>
      <c r="O462" s="1270">
        <v>0.3</v>
      </c>
      <c r="P462" s="812">
        <v>31</v>
      </c>
      <c r="Q462" s="603"/>
      <c r="R462" s="605" t="s">
        <v>413</v>
      </c>
      <c r="S462" s="606"/>
      <c r="T462" s="1278">
        <v>2026.6666666666667</v>
      </c>
      <c r="U462" s="604"/>
      <c r="V462" s="613">
        <v>3.3</v>
      </c>
      <c r="W462" s="613"/>
      <c r="X462" s="604"/>
      <c r="Y462" s="827">
        <v>3.3</v>
      </c>
      <c r="Z462" s="828">
        <v>31.496666666666673</v>
      </c>
      <c r="AA462" s="869"/>
      <c r="AB462" s="830"/>
      <c r="AC462" s="940">
        <v>44</v>
      </c>
      <c r="AD462" s="830" t="s">
        <v>483</v>
      </c>
      <c r="AE462" s="830">
        <v>0</v>
      </c>
      <c r="AF462" s="803">
        <v>6157</v>
      </c>
    </row>
    <row r="463" spans="1:32" ht="14.25">
      <c r="A463" s="154">
        <v>6159</v>
      </c>
      <c r="B463" s="992"/>
      <c r="C463" s="992" t="s">
        <v>690</v>
      </c>
      <c r="D463" s="510" t="s">
        <v>347</v>
      </c>
      <c r="E463" s="504">
        <v>2100</v>
      </c>
      <c r="F463" s="612">
        <v>4</v>
      </c>
      <c r="G463" s="1053"/>
      <c r="H463" s="506">
        <v>3.5</v>
      </c>
      <c r="I463" s="506">
        <v>4.8</v>
      </c>
      <c r="J463" s="764">
        <v>80</v>
      </c>
      <c r="K463" s="145" t="s">
        <v>347</v>
      </c>
      <c r="L463" s="492">
        <v>15</v>
      </c>
      <c r="M463" s="780">
        <v>2000</v>
      </c>
      <c r="N463" s="500">
        <v>0</v>
      </c>
      <c r="O463" s="1269">
        <v>1.35</v>
      </c>
      <c r="P463" s="492"/>
      <c r="Q463" s="507"/>
      <c r="R463" s="201" t="s">
        <v>413</v>
      </c>
      <c r="S463" s="201"/>
      <c r="T463" s="1277">
        <v>175.7</v>
      </c>
      <c r="U463" s="506"/>
      <c r="V463" s="506">
        <v>1.4175000000000002</v>
      </c>
      <c r="W463" s="506"/>
      <c r="X463" s="506">
        <v>0</v>
      </c>
      <c r="Y463" s="823">
        <v>1.4175000000000002</v>
      </c>
      <c r="Z463" s="831">
        <v>3.9751250000000007</v>
      </c>
      <c r="AA463" s="866"/>
      <c r="AB463" s="826"/>
      <c r="AC463" s="939">
        <v>4.2</v>
      </c>
      <c r="AD463" s="826" t="s">
        <v>483</v>
      </c>
      <c r="AE463" s="826">
        <v>0</v>
      </c>
      <c r="AF463" s="804">
        <v>6159</v>
      </c>
    </row>
    <row r="464" spans="1:32" ht="14.25">
      <c r="A464" s="990">
        <v>6160</v>
      </c>
      <c r="B464" s="991"/>
      <c r="C464" s="991" t="s">
        <v>1008</v>
      </c>
      <c r="D464" s="1040" t="s">
        <v>347</v>
      </c>
      <c r="E464" s="1028">
        <v>1500</v>
      </c>
      <c r="F464" s="1035">
        <v>5.9</v>
      </c>
      <c r="G464" s="1052"/>
      <c r="H464" s="613">
        <v>5.1</v>
      </c>
      <c r="I464" s="613">
        <v>7.3</v>
      </c>
      <c r="J464" s="1031">
        <v>50</v>
      </c>
      <c r="K464" s="1032" t="s">
        <v>347</v>
      </c>
      <c r="L464" s="1251">
        <v>15</v>
      </c>
      <c r="M464" s="1232">
        <v>2000</v>
      </c>
      <c r="N464" s="1264">
        <v>0.25</v>
      </c>
      <c r="O464" s="815">
        <v>2.35</v>
      </c>
      <c r="P464" s="812">
        <v>13</v>
      </c>
      <c r="Q464" s="630">
        <v>0.00125</v>
      </c>
      <c r="R464" s="610">
        <v>253.23999999999998</v>
      </c>
      <c r="S464" s="610">
        <v>70</v>
      </c>
      <c r="T464" s="1278">
        <v>182.25</v>
      </c>
      <c r="U464" s="638">
        <v>0.14929090909090909</v>
      </c>
      <c r="V464" s="613">
        <v>1.7625000000000002</v>
      </c>
      <c r="W464" s="613"/>
      <c r="X464" s="638">
        <v>0.035</v>
      </c>
      <c r="Y464" s="827">
        <v>1.7625000000000002</v>
      </c>
      <c r="Z464" s="828">
        <v>5.948250000000002</v>
      </c>
      <c r="AA464" s="869"/>
      <c r="AB464" s="830"/>
      <c r="AC464" s="940">
        <v>3</v>
      </c>
      <c r="AD464" s="830" t="s">
        <v>483</v>
      </c>
      <c r="AE464" s="830">
        <v>0</v>
      </c>
      <c r="AF464" s="803">
        <v>6160</v>
      </c>
    </row>
    <row r="465" spans="1:32" ht="14.25">
      <c r="A465" s="496"/>
      <c r="B465" s="761"/>
      <c r="C465" s="496"/>
      <c r="D465" s="510"/>
      <c r="E465" s="504"/>
      <c r="F465" s="509"/>
      <c r="G465" s="1053"/>
      <c r="H465" s="506"/>
      <c r="I465" s="506"/>
      <c r="J465" s="764"/>
      <c r="K465" s="495"/>
      <c r="L465" s="496"/>
      <c r="M465" s="780"/>
      <c r="N465" s="500" t="s">
        <v>413</v>
      </c>
      <c r="O465" s="788" t="s">
        <v>413</v>
      </c>
      <c r="P465" s="810"/>
      <c r="Q465" s="519">
        <v>0.00125</v>
      </c>
      <c r="R465" s="201">
        <v>360.38</v>
      </c>
      <c r="S465" s="201">
        <v>70</v>
      </c>
      <c r="T465" s="1277" t="s">
        <v>413</v>
      </c>
      <c r="U465" s="526">
        <v>0.19899090909090908</v>
      </c>
      <c r="V465" s="506"/>
      <c r="W465" s="506"/>
      <c r="X465" s="526">
        <v>0.035</v>
      </c>
      <c r="Y465" s="823" t="s">
        <v>413</v>
      </c>
      <c r="Z465" s="831"/>
      <c r="AA465" s="866"/>
      <c r="AB465" s="802"/>
      <c r="AC465" s="939" t="s">
        <v>413</v>
      </c>
      <c r="AD465" s="826" t="s">
        <v>413</v>
      </c>
      <c r="AE465" s="826"/>
      <c r="AF465" s="802"/>
    </row>
    <row r="466" spans="1:32" ht="14.25">
      <c r="A466" s="987">
        <v>6170</v>
      </c>
      <c r="B466" s="988"/>
      <c r="C466" s="989" t="s">
        <v>691</v>
      </c>
      <c r="D466" s="1021"/>
      <c r="E466" s="1022"/>
      <c r="F466" s="1023"/>
      <c r="G466" s="1024"/>
      <c r="H466" s="1025"/>
      <c r="I466" s="1025"/>
      <c r="J466" s="1026"/>
      <c r="K466" s="1026"/>
      <c r="L466" s="1021"/>
      <c r="M466" s="1026"/>
      <c r="N466" s="1263" t="s">
        <v>413</v>
      </c>
      <c r="O466" s="816" t="s">
        <v>413</v>
      </c>
      <c r="P466" s="809"/>
      <c r="Q466" s="630">
        <v>0.00125</v>
      </c>
      <c r="R466" s="610">
        <v>487</v>
      </c>
      <c r="S466" s="610">
        <v>70</v>
      </c>
      <c r="T466" s="1276" t="s">
        <v>413</v>
      </c>
      <c r="U466" s="638">
        <v>0.25772727272727275</v>
      </c>
      <c r="V466" s="1025"/>
      <c r="W466" s="1025"/>
      <c r="X466" s="638">
        <v>0.035</v>
      </c>
      <c r="Y466" s="833" t="s">
        <v>413</v>
      </c>
      <c r="Z466" s="820"/>
      <c r="AA466" s="821"/>
      <c r="AB466" s="822"/>
      <c r="AC466" s="938" t="s">
        <v>413</v>
      </c>
      <c r="AD466" s="822" t="s">
        <v>413</v>
      </c>
      <c r="AE466" s="822"/>
      <c r="AF466" s="801">
        <v>6170</v>
      </c>
    </row>
    <row r="467" spans="1:32" ht="14.25">
      <c r="A467" s="496"/>
      <c r="B467" s="761"/>
      <c r="C467" s="496"/>
      <c r="D467" s="525"/>
      <c r="E467" s="504"/>
      <c r="F467" s="509"/>
      <c r="G467" s="1122"/>
      <c r="H467" s="506"/>
      <c r="I467" s="506"/>
      <c r="J467" s="764"/>
      <c r="K467" s="495"/>
      <c r="L467" s="496"/>
      <c r="M467" s="764"/>
      <c r="N467" s="500" t="s">
        <v>413</v>
      </c>
      <c r="O467" s="788" t="s">
        <v>413</v>
      </c>
      <c r="P467" s="810"/>
      <c r="Q467" s="519">
        <v>0.00166667</v>
      </c>
      <c r="R467" s="201">
        <v>1704.5</v>
      </c>
      <c r="S467" s="201">
        <v>504</v>
      </c>
      <c r="T467" s="1277" t="s">
        <v>413</v>
      </c>
      <c r="U467" s="526">
        <v>0.8974</v>
      </c>
      <c r="V467" s="506"/>
      <c r="W467" s="506"/>
      <c r="X467" s="526">
        <v>0.04666676</v>
      </c>
      <c r="Y467" s="823" t="s">
        <v>413</v>
      </c>
      <c r="Z467" s="831"/>
      <c r="AA467" s="882"/>
      <c r="AB467" s="802"/>
      <c r="AC467" s="939" t="s">
        <v>413</v>
      </c>
      <c r="AD467" s="826" t="s">
        <v>413</v>
      </c>
      <c r="AE467" s="826"/>
      <c r="AF467" s="802"/>
    </row>
    <row r="468" spans="1:32" ht="14.25">
      <c r="A468" s="990">
        <v>6171</v>
      </c>
      <c r="B468" s="991"/>
      <c r="C468" s="991" t="s">
        <v>692</v>
      </c>
      <c r="D468" s="1120">
        <v>50</v>
      </c>
      <c r="E468" s="1028">
        <v>6700</v>
      </c>
      <c r="F468" s="1035">
        <v>4.4</v>
      </c>
      <c r="G468" s="1052"/>
      <c r="H468" s="613">
        <v>3.8</v>
      </c>
      <c r="I468" s="613">
        <v>5.3</v>
      </c>
      <c r="J468" s="1031">
        <v>200</v>
      </c>
      <c r="K468" s="1032" t="s">
        <v>347</v>
      </c>
      <c r="L468" s="1251">
        <v>15</v>
      </c>
      <c r="M468" s="1232">
        <v>10000</v>
      </c>
      <c r="N468" s="1264">
        <v>0.25</v>
      </c>
      <c r="O468" s="815">
        <v>2.05</v>
      </c>
      <c r="P468" s="812">
        <v>9</v>
      </c>
      <c r="Q468" s="630">
        <v>0.00166667</v>
      </c>
      <c r="R468" s="610">
        <v>1948</v>
      </c>
      <c r="S468" s="610">
        <v>644</v>
      </c>
      <c r="T468" s="1278">
        <v>519.65</v>
      </c>
      <c r="U468" s="638">
        <v>0.8225</v>
      </c>
      <c r="V468" s="613">
        <v>1.3735</v>
      </c>
      <c r="W468" s="613"/>
      <c r="X468" s="638">
        <v>0.04666676</v>
      </c>
      <c r="Y468" s="827">
        <v>1.3735</v>
      </c>
      <c r="Z468" s="828">
        <v>4.368925</v>
      </c>
      <c r="AA468" s="869"/>
      <c r="AB468" s="830"/>
      <c r="AC468" s="940">
        <v>13.4</v>
      </c>
      <c r="AD468" s="830" t="s">
        <v>483</v>
      </c>
      <c r="AE468" s="830">
        <v>0</v>
      </c>
      <c r="AF468" s="803">
        <v>6171</v>
      </c>
    </row>
    <row r="469" spans="1:32" ht="14.25">
      <c r="A469" s="154">
        <v>6177</v>
      </c>
      <c r="B469" s="992"/>
      <c r="C469" s="992" t="s">
        <v>1350</v>
      </c>
      <c r="D469" s="525">
        <v>58</v>
      </c>
      <c r="E469" s="504">
        <v>18000</v>
      </c>
      <c r="F469" s="612">
        <v>5.9</v>
      </c>
      <c r="G469" s="1053"/>
      <c r="H469" s="506">
        <v>5</v>
      </c>
      <c r="I469" s="506">
        <v>7.5</v>
      </c>
      <c r="J469" s="764">
        <v>250</v>
      </c>
      <c r="K469" s="145" t="s">
        <v>347</v>
      </c>
      <c r="L469" s="492">
        <v>20</v>
      </c>
      <c r="M469" s="780">
        <v>10000</v>
      </c>
      <c r="N469" s="500">
        <v>0.25</v>
      </c>
      <c r="O469" s="788">
        <v>0.6</v>
      </c>
      <c r="P469" s="492">
        <v>9</v>
      </c>
      <c r="Q469" s="519">
        <v>0.00166667</v>
      </c>
      <c r="R469" s="201">
        <v>2240.2</v>
      </c>
      <c r="S469" s="201">
        <v>777</v>
      </c>
      <c r="T469" s="1277">
        <v>1080</v>
      </c>
      <c r="U469" s="526">
        <v>0.7657999999999999</v>
      </c>
      <c r="V469" s="506">
        <v>1.08</v>
      </c>
      <c r="W469" s="506"/>
      <c r="X469" s="526">
        <v>0.04666676</v>
      </c>
      <c r="Y469" s="823">
        <v>1.08</v>
      </c>
      <c r="Z469" s="831">
        <v>5.940000000000001</v>
      </c>
      <c r="AA469" s="866"/>
      <c r="AB469" s="826"/>
      <c r="AC469" s="939">
        <v>36</v>
      </c>
      <c r="AD469" s="826" t="s">
        <v>483</v>
      </c>
      <c r="AE469" s="826">
        <v>0</v>
      </c>
      <c r="AF469" s="804">
        <v>6177</v>
      </c>
    </row>
    <row r="470" spans="1:32" ht="14.25">
      <c r="A470" s="990">
        <v>6172</v>
      </c>
      <c r="B470" s="991"/>
      <c r="C470" s="991" t="s">
        <v>693</v>
      </c>
      <c r="D470" s="1040" t="s">
        <v>347</v>
      </c>
      <c r="E470" s="1028">
        <v>13500</v>
      </c>
      <c r="F470" s="1035">
        <v>8.3</v>
      </c>
      <c r="G470" s="1052"/>
      <c r="H470" s="613">
        <v>7</v>
      </c>
      <c r="I470" s="613">
        <v>10.5</v>
      </c>
      <c r="J470" s="1031">
        <v>200</v>
      </c>
      <c r="K470" s="1032" t="s">
        <v>347</v>
      </c>
      <c r="L470" s="1251">
        <v>15</v>
      </c>
      <c r="M470" s="1232">
        <v>10000</v>
      </c>
      <c r="N470" s="1264">
        <v>0.25</v>
      </c>
      <c r="O470" s="815">
        <v>1.5</v>
      </c>
      <c r="P470" s="812">
        <v>29</v>
      </c>
      <c r="Q470" s="507"/>
      <c r="R470" s="201" t="s">
        <v>413</v>
      </c>
      <c r="S470" s="201"/>
      <c r="T470" s="1278">
        <v>1112.25</v>
      </c>
      <c r="U470" s="528"/>
      <c r="V470" s="613">
        <v>2.0250000000000004</v>
      </c>
      <c r="W470" s="613"/>
      <c r="X470" s="528"/>
      <c r="Y470" s="827">
        <v>2.0250000000000004</v>
      </c>
      <c r="Z470" s="828">
        <v>8.344875000000002</v>
      </c>
      <c r="AA470" s="869"/>
      <c r="AB470" s="830"/>
      <c r="AC470" s="940">
        <v>27</v>
      </c>
      <c r="AD470" s="830" t="s">
        <v>483</v>
      </c>
      <c r="AE470" s="830">
        <v>0</v>
      </c>
      <c r="AF470" s="803">
        <v>6172</v>
      </c>
    </row>
    <row r="471" spans="1:32" ht="14.25">
      <c r="A471" s="154">
        <v>6173</v>
      </c>
      <c r="B471" s="992"/>
      <c r="C471" s="763" t="s">
        <v>694</v>
      </c>
      <c r="D471" s="510" t="s">
        <v>347</v>
      </c>
      <c r="E471" s="504">
        <v>8400</v>
      </c>
      <c r="F471" s="612">
        <v>6.9</v>
      </c>
      <c r="G471" s="1053"/>
      <c r="H471" s="506">
        <v>6</v>
      </c>
      <c r="I471" s="506">
        <v>8.5</v>
      </c>
      <c r="J471" s="764">
        <v>200</v>
      </c>
      <c r="K471" s="145" t="s">
        <v>347</v>
      </c>
      <c r="L471" s="492">
        <v>12</v>
      </c>
      <c r="M471" s="780">
        <v>10000</v>
      </c>
      <c r="N471" s="500">
        <v>0.25</v>
      </c>
      <c r="O471" s="788">
        <v>2.35</v>
      </c>
      <c r="P471" s="492">
        <v>29</v>
      </c>
      <c r="Q471" s="603"/>
      <c r="R471" s="605" t="s">
        <v>413</v>
      </c>
      <c r="S471" s="606"/>
      <c r="T471" s="1277">
        <v>862.8</v>
      </c>
      <c r="U471" s="604"/>
      <c r="V471" s="506">
        <v>1.974</v>
      </c>
      <c r="W471" s="506"/>
      <c r="X471" s="604"/>
      <c r="Y471" s="823">
        <v>1.974</v>
      </c>
      <c r="Z471" s="831">
        <v>6.916800000000001</v>
      </c>
      <c r="AA471" s="866"/>
      <c r="AB471" s="826"/>
      <c r="AC471" s="939">
        <v>16.8</v>
      </c>
      <c r="AD471" s="826" t="s">
        <v>483</v>
      </c>
      <c r="AE471" s="826">
        <v>0</v>
      </c>
      <c r="AF471" s="804">
        <v>6173</v>
      </c>
    </row>
    <row r="472" spans="1:32" ht="14.25">
      <c r="A472" s="990">
        <v>6174</v>
      </c>
      <c r="B472" s="991"/>
      <c r="C472" s="991" t="s">
        <v>695</v>
      </c>
      <c r="D472" s="1040" t="s">
        <v>347</v>
      </c>
      <c r="E472" s="1028">
        <v>27000</v>
      </c>
      <c r="F472" s="1035">
        <v>14</v>
      </c>
      <c r="G472" s="1052"/>
      <c r="H472" s="613">
        <v>11.5</v>
      </c>
      <c r="I472" s="613">
        <v>17.5</v>
      </c>
      <c r="J472" s="1031">
        <v>250</v>
      </c>
      <c r="K472" s="1032" t="s">
        <v>347</v>
      </c>
      <c r="L472" s="1251">
        <v>12</v>
      </c>
      <c r="M472" s="1232">
        <v>10000</v>
      </c>
      <c r="N472" s="1264">
        <v>0.25</v>
      </c>
      <c r="O472" s="815">
        <v>1</v>
      </c>
      <c r="P472" s="812">
        <v>44</v>
      </c>
      <c r="Q472" s="507"/>
      <c r="R472" s="201" t="s">
        <v>413</v>
      </c>
      <c r="S472" s="201"/>
      <c r="T472" s="1278">
        <v>2478</v>
      </c>
      <c r="U472" s="506"/>
      <c r="V472" s="613">
        <v>2.7</v>
      </c>
      <c r="W472" s="613"/>
      <c r="X472" s="506"/>
      <c r="Y472" s="827">
        <v>2.7</v>
      </c>
      <c r="Z472" s="828">
        <v>13.873200000000002</v>
      </c>
      <c r="AA472" s="869"/>
      <c r="AB472" s="830"/>
      <c r="AC472" s="940">
        <v>54</v>
      </c>
      <c r="AD472" s="830" t="s">
        <v>483</v>
      </c>
      <c r="AE472" s="830">
        <v>0</v>
      </c>
      <c r="AF472" s="803">
        <v>6174</v>
      </c>
    </row>
    <row r="473" spans="1:32" ht="14.25">
      <c r="A473" s="154">
        <v>6175</v>
      </c>
      <c r="B473" s="992"/>
      <c r="C473" s="763" t="s">
        <v>696</v>
      </c>
      <c r="D473" s="510" t="s">
        <v>347</v>
      </c>
      <c r="E473" s="504">
        <v>38000</v>
      </c>
      <c r="F473" s="612">
        <v>16</v>
      </c>
      <c r="G473" s="1053"/>
      <c r="H473" s="506">
        <v>13.5</v>
      </c>
      <c r="I473" s="506">
        <v>20</v>
      </c>
      <c r="J473" s="764">
        <v>300</v>
      </c>
      <c r="K473" s="145" t="s">
        <v>347</v>
      </c>
      <c r="L473" s="492">
        <v>12</v>
      </c>
      <c r="M473" s="780">
        <v>10000</v>
      </c>
      <c r="N473" s="500">
        <v>0.25</v>
      </c>
      <c r="O473" s="788">
        <v>0.75</v>
      </c>
      <c r="P473" s="492">
        <v>63</v>
      </c>
      <c r="Q473" s="630">
        <v>0.00125</v>
      </c>
      <c r="R473" s="610">
        <v>277.4</v>
      </c>
      <c r="S473" s="610">
        <v>0</v>
      </c>
      <c r="T473" s="1277">
        <v>3494</v>
      </c>
      <c r="U473" s="638">
        <v>0.1406</v>
      </c>
      <c r="V473" s="506">
        <v>2.8499999999999996</v>
      </c>
      <c r="W473" s="506"/>
      <c r="X473" s="638">
        <v>0.035</v>
      </c>
      <c r="Y473" s="823">
        <v>2.8499999999999996</v>
      </c>
      <c r="Z473" s="831">
        <v>15.946333333333333</v>
      </c>
      <c r="AA473" s="866"/>
      <c r="AB473" s="826"/>
      <c r="AC473" s="939">
        <v>76</v>
      </c>
      <c r="AD473" s="826" t="s">
        <v>483</v>
      </c>
      <c r="AE473" s="826">
        <v>0</v>
      </c>
      <c r="AF473" s="804">
        <v>6175</v>
      </c>
    </row>
    <row r="474" spans="1:32" ht="14.25">
      <c r="A474" s="496"/>
      <c r="B474" s="761"/>
      <c r="C474" s="496"/>
      <c r="D474" s="510"/>
      <c r="E474" s="504"/>
      <c r="F474" s="509"/>
      <c r="G474" s="1053"/>
      <c r="H474" s="506"/>
      <c r="I474" s="506"/>
      <c r="J474" s="764"/>
      <c r="K474" s="495"/>
      <c r="L474" s="496"/>
      <c r="M474" s="780"/>
      <c r="N474" s="500" t="s">
        <v>413</v>
      </c>
      <c r="O474" s="788" t="s">
        <v>413</v>
      </c>
      <c r="P474" s="810"/>
      <c r="Q474" s="519">
        <v>0.00166667</v>
      </c>
      <c r="R474" s="201">
        <v>1284.8</v>
      </c>
      <c r="S474" s="201">
        <v>91</v>
      </c>
      <c r="T474" s="1277" t="s">
        <v>413</v>
      </c>
      <c r="U474" s="526">
        <v>0.5805833333333332</v>
      </c>
      <c r="V474" s="506"/>
      <c r="W474" s="506"/>
      <c r="X474" s="526">
        <v>0.04666676</v>
      </c>
      <c r="Y474" s="823" t="s">
        <v>413</v>
      </c>
      <c r="Z474" s="831"/>
      <c r="AA474" s="866"/>
      <c r="AB474" s="802"/>
      <c r="AC474" s="939" t="s">
        <v>413</v>
      </c>
      <c r="AD474" s="826" t="s">
        <v>413</v>
      </c>
      <c r="AE474" s="826"/>
      <c r="AF474" s="802"/>
    </row>
    <row r="475" spans="1:32" ht="14.25">
      <c r="A475" s="987">
        <v>6180</v>
      </c>
      <c r="B475" s="988"/>
      <c r="C475" s="989" t="s">
        <v>697</v>
      </c>
      <c r="D475" s="1021"/>
      <c r="E475" s="1022"/>
      <c r="F475" s="1023"/>
      <c r="G475" s="1024"/>
      <c r="H475" s="1025"/>
      <c r="I475" s="1025"/>
      <c r="J475" s="1026"/>
      <c r="K475" s="1026"/>
      <c r="L475" s="1021"/>
      <c r="M475" s="1026"/>
      <c r="N475" s="1263" t="s">
        <v>413</v>
      </c>
      <c r="O475" s="816" t="s">
        <v>413</v>
      </c>
      <c r="P475" s="809"/>
      <c r="Q475" s="630">
        <v>0.00166667</v>
      </c>
      <c r="R475" s="610">
        <v>2263</v>
      </c>
      <c r="S475" s="610">
        <v>140</v>
      </c>
      <c r="T475" s="1276" t="s">
        <v>413</v>
      </c>
      <c r="U475" s="638">
        <v>0.8692857142857143</v>
      </c>
      <c r="V475" s="1025"/>
      <c r="W475" s="1025"/>
      <c r="X475" s="638">
        <v>0.04666676</v>
      </c>
      <c r="Y475" s="833" t="s">
        <v>413</v>
      </c>
      <c r="Z475" s="820"/>
      <c r="AA475" s="821"/>
      <c r="AB475" s="822"/>
      <c r="AC475" s="938" t="s">
        <v>413</v>
      </c>
      <c r="AD475" s="822">
        <v>0</v>
      </c>
      <c r="AE475" s="822"/>
      <c r="AF475" s="801">
        <v>6180</v>
      </c>
    </row>
    <row r="476" spans="1:32" ht="14.25">
      <c r="A476" s="496"/>
      <c r="B476" s="761"/>
      <c r="C476" s="496"/>
      <c r="D476" s="510"/>
      <c r="E476" s="504"/>
      <c r="F476" s="509"/>
      <c r="G476" s="1053"/>
      <c r="H476" s="506"/>
      <c r="I476" s="506"/>
      <c r="J476" s="764"/>
      <c r="K476" s="495"/>
      <c r="L476" s="496"/>
      <c r="M476" s="780"/>
      <c r="N476" s="500" t="s">
        <v>413</v>
      </c>
      <c r="O476" s="788" t="s">
        <v>413</v>
      </c>
      <c r="P476" s="810"/>
      <c r="Q476" s="519">
        <v>0.00166667</v>
      </c>
      <c r="R476" s="201">
        <v>1752</v>
      </c>
      <c r="S476" s="201">
        <v>105</v>
      </c>
      <c r="T476" s="1277" t="s">
        <v>413</v>
      </c>
      <c r="U476" s="526">
        <v>0.5878125</v>
      </c>
      <c r="V476" s="506"/>
      <c r="W476" s="506"/>
      <c r="X476" s="526">
        <v>0.04666676</v>
      </c>
      <c r="Y476" s="823" t="s">
        <v>413</v>
      </c>
      <c r="Z476" s="831"/>
      <c r="AA476" s="866"/>
      <c r="AB476" s="802"/>
      <c r="AC476" s="939" t="s">
        <v>413</v>
      </c>
      <c r="AD476" s="826" t="s">
        <v>413</v>
      </c>
      <c r="AE476" s="826"/>
      <c r="AF476" s="802"/>
    </row>
    <row r="477" spans="1:32" ht="14.25">
      <c r="A477" s="990">
        <v>6181</v>
      </c>
      <c r="B477" s="991"/>
      <c r="C477" s="991" t="s">
        <v>698</v>
      </c>
      <c r="D477" s="1132"/>
      <c r="E477" s="1028">
        <v>29000</v>
      </c>
      <c r="F477" s="1035">
        <v>60</v>
      </c>
      <c r="G477" s="1133"/>
      <c r="H477" s="613">
        <v>53</v>
      </c>
      <c r="I477" s="613">
        <v>73</v>
      </c>
      <c r="J477" s="1031">
        <v>100</v>
      </c>
      <c r="K477" s="1032" t="s">
        <v>347</v>
      </c>
      <c r="L477" s="1251">
        <v>8</v>
      </c>
      <c r="M477" s="1232">
        <v>2500</v>
      </c>
      <c r="N477" s="1264">
        <v>0.25</v>
      </c>
      <c r="O477" s="815">
        <v>1.7</v>
      </c>
      <c r="P477" s="812">
        <v>39</v>
      </c>
      <c r="Q477" s="630">
        <v>0.00166667</v>
      </c>
      <c r="R477" s="610">
        <v>3066</v>
      </c>
      <c r="S477" s="610">
        <v>168</v>
      </c>
      <c r="T477" s="1278">
        <v>3518.25</v>
      </c>
      <c r="U477" s="638">
        <v>0.819</v>
      </c>
      <c r="V477" s="613">
        <v>19.72</v>
      </c>
      <c r="W477" s="613"/>
      <c r="X477" s="638">
        <v>0.04666676</v>
      </c>
      <c r="Y477" s="827">
        <v>19.72</v>
      </c>
      <c r="Z477" s="828">
        <v>60.39275</v>
      </c>
      <c r="AA477" s="887"/>
      <c r="AB477" s="830"/>
      <c r="AC477" s="940">
        <v>58</v>
      </c>
      <c r="AD477" s="830" t="s">
        <v>483</v>
      </c>
      <c r="AE477" s="830">
        <v>0</v>
      </c>
      <c r="AF477" s="803">
        <v>6181</v>
      </c>
    </row>
    <row r="478" spans="1:32" ht="28.5">
      <c r="A478" s="154">
        <v>6182</v>
      </c>
      <c r="B478" s="992"/>
      <c r="C478" s="992" t="s">
        <v>699</v>
      </c>
      <c r="D478" s="503">
        <v>30</v>
      </c>
      <c r="E478" s="504">
        <v>43000</v>
      </c>
      <c r="F478" s="612">
        <v>75</v>
      </c>
      <c r="G478" s="1033"/>
      <c r="H478" s="506">
        <v>67</v>
      </c>
      <c r="I478" s="506">
        <v>89</v>
      </c>
      <c r="J478" s="764">
        <v>150</v>
      </c>
      <c r="K478" s="145">
        <v>60</v>
      </c>
      <c r="L478" s="492">
        <v>8</v>
      </c>
      <c r="M478" s="780">
        <v>2500</v>
      </c>
      <c r="N478" s="500">
        <v>0.25</v>
      </c>
      <c r="O478" s="788">
        <v>1.35</v>
      </c>
      <c r="P478" s="492">
        <v>55</v>
      </c>
      <c r="Q478" s="507">
        <v>0.0333</v>
      </c>
      <c r="R478" s="201">
        <v>113.96666666666667</v>
      </c>
      <c r="S478" s="201">
        <v>0</v>
      </c>
      <c r="T478" s="1277">
        <v>5584.75</v>
      </c>
      <c r="U478" s="506">
        <v>1.4570833333333333</v>
      </c>
      <c r="V478" s="506">
        <v>23.22</v>
      </c>
      <c r="W478" s="506">
        <v>7.938000000000001</v>
      </c>
      <c r="X478" s="506">
        <v>0.9324000000000001</v>
      </c>
      <c r="Y478" s="823">
        <v>31.158</v>
      </c>
      <c r="Z478" s="831">
        <v>75.22863333333335</v>
      </c>
      <c r="AA478" s="832"/>
      <c r="AB478" s="826"/>
      <c r="AC478" s="939">
        <v>86</v>
      </c>
      <c r="AD478" s="826" t="s">
        <v>483</v>
      </c>
      <c r="AE478" s="826">
        <v>1</v>
      </c>
      <c r="AF478" s="804">
        <v>6182</v>
      </c>
    </row>
    <row r="479" spans="1:32" ht="14.25">
      <c r="A479" s="990">
        <v>6183</v>
      </c>
      <c r="B479" s="991"/>
      <c r="C479" s="991" t="s">
        <v>700</v>
      </c>
      <c r="D479" s="1134">
        <v>250</v>
      </c>
      <c r="E479" s="1028">
        <v>31000</v>
      </c>
      <c r="F479" s="1035">
        <v>50</v>
      </c>
      <c r="G479" s="1135">
        <v>0.2</v>
      </c>
      <c r="H479" s="613">
        <v>43</v>
      </c>
      <c r="I479" s="613">
        <v>61</v>
      </c>
      <c r="J479" s="1031">
        <v>120</v>
      </c>
      <c r="K479" s="1032" t="s">
        <v>347</v>
      </c>
      <c r="L479" s="1251">
        <v>8</v>
      </c>
      <c r="M479" s="1232">
        <v>3000</v>
      </c>
      <c r="N479" s="1264">
        <v>0.25</v>
      </c>
      <c r="O479" s="815">
        <v>1.3</v>
      </c>
      <c r="P479" s="812">
        <v>47</v>
      </c>
      <c r="Q479" s="609">
        <v>0.05</v>
      </c>
      <c r="R479" s="610">
        <v>1271.1666666666665</v>
      </c>
      <c r="S479" s="610">
        <v>217</v>
      </c>
      <c r="T479" s="1278">
        <v>3792.75</v>
      </c>
      <c r="U479" s="608">
        <v>18.96458333333333</v>
      </c>
      <c r="V479" s="613">
        <v>13.433333333333335</v>
      </c>
      <c r="W479" s="613"/>
      <c r="X479" s="608">
        <v>1.4000000000000001</v>
      </c>
      <c r="Y479" s="827">
        <v>13.433333333333335</v>
      </c>
      <c r="Z479" s="828">
        <v>49.54354166666667</v>
      </c>
      <c r="AA479" s="888">
        <v>0.19817416666666668</v>
      </c>
      <c r="AB479" s="830"/>
      <c r="AC479" s="940">
        <v>62</v>
      </c>
      <c r="AD479" s="830" t="s">
        <v>483</v>
      </c>
      <c r="AE479" s="830">
        <v>0</v>
      </c>
      <c r="AF479" s="803">
        <v>6183</v>
      </c>
    </row>
    <row r="480" spans="1:32" ht="14.25">
      <c r="A480" s="154"/>
      <c r="B480" s="992"/>
      <c r="C480" s="154"/>
      <c r="D480" s="207"/>
      <c r="E480" s="504"/>
      <c r="F480" s="509"/>
      <c r="G480" s="1094"/>
      <c r="H480" s="520"/>
      <c r="I480" s="520"/>
      <c r="J480" s="770"/>
      <c r="L480" s="492"/>
      <c r="M480" s="770"/>
      <c r="N480" s="500" t="s">
        <v>413</v>
      </c>
      <c r="O480" s="788" t="s">
        <v>413</v>
      </c>
      <c r="P480" s="492"/>
      <c r="Q480" s="618">
        <v>0.0333</v>
      </c>
      <c r="R480" s="619">
        <v>192.86666666666665</v>
      </c>
      <c r="S480" s="619">
        <v>0</v>
      </c>
      <c r="T480" s="1277" t="s">
        <v>413</v>
      </c>
      <c r="U480" s="617">
        <v>2.4658333333333333</v>
      </c>
      <c r="V480" s="520"/>
      <c r="W480" s="506"/>
      <c r="X480" s="617">
        <v>0.9324000000000001</v>
      </c>
      <c r="Y480" s="823" t="s">
        <v>413</v>
      </c>
      <c r="Z480" s="831"/>
      <c r="AA480" s="889"/>
      <c r="AB480" s="826"/>
      <c r="AC480" s="939" t="s">
        <v>413</v>
      </c>
      <c r="AD480" s="826" t="s">
        <v>413</v>
      </c>
      <c r="AE480" s="826"/>
      <c r="AF480" s="804"/>
    </row>
    <row r="481" spans="1:32" ht="14.25">
      <c r="A481" s="997"/>
      <c r="B481" s="998"/>
      <c r="C481" s="999" t="s">
        <v>701</v>
      </c>
      <c r="D481" s="1057"/>
      <c r="E481" s="1058"/>
      <c r="F481" s="1059"/>
      <c r="G481" s="1060"/>
      <c r="H481" s="1061"/>
      <c r="I481" s="1061"/>
      <c r="J481" s="1062"/>
      <c r="K481" s="1063"/>
      <c r="L481" s="1253"/>
      <c r="M481" s="1062"/>
      <c r="N481" s="1265" t="s">
        <v>413</v>
      </c>
      <c r="O481" s="817" t="s">
        <v>413</v>
      </c>
      <c r="P481" s="813"/>
      <c r="Q481" s="609">
        <v>0.05</v>
      </c>
      <c r="R481" s="610">
        <v>111.75</v>
      </c>
      <c r="S481" s="610">
        <v>91</v>
      </c>
      <c r="T481" s="1280" t="s">
        <v>413</v>
      </c>
      <c r="U481" s="608">
        <v>4.115</v>
      </c>
      <c r="V481" s="1061"/>
      <c r="W481" s="1061"/>
      <c r="X481" s="608">
        <v>1.4000000000000001</v>
      </c>
      <c r="Y481" s="856" t="s">
        <v>413</v>
      </c>
      <c r="Z481" s="857"/>
      <c r="AA481" s="890"/>
      <c r="AB481" s="859"/>
      <c r="AC481" s="942" t="s">
        <v>413</v>
      </c>
      <c r="AD481" s="859" t="s">
        <v>413</v>
      </c>
      <c r="AE481" s="859"/>
      <c r="AF481" s="805"/>
    </row>
    <row r="482" spans="1:32" ht="14.25">
      <c r="A482" s="496"/>
      <c r="B482" s="761"/>
      <c r="C482" s="496"/>
      <c r="D482" s="510"/>
      <c r="E482" s="504"/>
      <c r="F482" s="509"/>
      <c r="G482" s="1065"/>
      <c r="H482" s="511"/>
      <c r="I482" s="511"/>
      <c r="J482" s="766"/>
      <c r="K482" s="495"/>
      <c r="L482" s="496"/>
      <c r="M482" s="766"/>
      <c r="N482" s="500" t="s">
        <v>413</v>
      </c>
      <c r="O482" s="788" t="s">
        <v>413</v>
      </c>
      <c r="P482" s="810"/>
      <c r="Q482" s="507"/>
      <c r="R482" s="201" t="s">
        <v>413</v>
      </c>
      <c r="S482" s="201"/>
      <c r="T482" s="1277" t="s">
        <v>413</v>
      </c>
      <c r="U482" s="506"/>
      <c r="V482" s="511"/>
      <c r="W482" s="506"/>
      <c r="X482" s="506"/>
      <c r="Y482" s="823" t="s">
        <v>413</v>
      </c>
      <c r="Z482" s="831"/>
      <c r="AA482" s="861"/>
      <c r="AB482" s="802"/>
      <c r="AC482" s="939" t="s">
        <v>413</v>
      </c>
      <c r="AD482" s="826" t="s">
        <v>413</v>
      </c>
      <c r="AE482" s="826"/>
      <c r="AF482" s="802"/>
    </row>
    <row r="483" spans="1:32" ht="14.25">
      <c r="A483" s="987">
        <v>7000</v>
      </c>
      <c r="B483" s="988" t="s">
        <v>1501</v>
      </c>
      <c r="C483" s="989" t="s">
        <v>702</v>
      </c>
      <c r="D483" s="1021"/>
      <c r="E483" s="1022"/>
      <c r="F483" s="1023"/>
      <c r="G483" s="1024"/>
      <c r="H483" s="1025"/>
      <c r="I483" s="1025"/>
      <c r="J483" s="1026"/>
      <c r="K483" s="1026"/>
      <c r="L483" s="1021"/>
      <c r="M483" s="1026"/>
      <c r="N483" s="1263" t="s">
        <v>413</v>
      </c>
      <c r="O483" s="816" t="s">
        <v>413</v>
      </c>
      <c r="P483" s="809"/>
      <c r="Q483" s="603"/>
      <c r="R483" s="605" t="s">
        <v>413</v>
      </c>
      <c r="S483" s="606"/>
      <c r="T483" s="1276" t="s">
        <v>413</v>
      </c>
      <c r="U483" s="604"/>
      <c r="V483" s="1025"/>
      <c r="W483" s="1025"/>
      <c r="X483" s="604"/>
      <c r="Y483" s="833" t="s">
        <v>413</v>
      </c>
      <c r="Z483" s="820"/>
      <c r="AA483" s="821"/>
      <c r="AB483" s="822"/>
      <c r="AC483" s="938" t="s">
        <v>413</v>
      </c>
      <c r="AD483" s="822">
        <v>0</v>
      </c>
      <c r="AE483" s="822"/>
      <c r="AF483" s="801">
        <v>7000</v>
      </c>
    </row>
    <row r="484" spans="1:32" ht="14.25">
      <c r="A484" s="496"/>
      <c r="B484" s="761"/>
      <c r="C484" s="496"/>
      <c r="D484" s="510"/>
      <c r="E484" s="504"/>
      <c r="F484" s="509"/>
      <c r="G484" s="1065"/>
      <c r="H484" s="511"/>
      <c r="I484" s="511"/>
      <c r="J484" s="766"/>
      <c r="K484" s="495"/>
      <c r="L484" s="496"/>
      <c r="M484" s="766"/>
      <c r="N484" s="500" t="s">
        <v>413</v>
      </c>
      <c r="O484" s="788" t="s">
        <v>413</v>
      </c>
      <c r="P484" s="810"/>
      <c r="Q484" s="507"/>
      <c r="R484" s="201" t="s">
        <v>413</v>
      </c>
      <c r="S484" s="201"/>
      <c r="T484" s="1277" t="s">
        <v>413</v>
      </c>
      <c r="U484" s="506"/>
      <c r="V484" s="511"/>
      <c r="W484" s="506"/>
      <c r="X484" s="506"/>
      <c r="Y484" s="823" t="s">
        <v>413</v>
      </c>
      <c r="Z484" s="831"/>
      <c r="AA484" s="861"/>
      <c r="AB484" s="802"/>
      <c r="AC484" s="939" t="s">
        <v>413</v>
      </c>
      <c r="AD484" s="826" t="s">
        <v>413</v>
      </c>
      <c r="AE484" s="826"/>
      <c r="AF484" s="802"/>
    </row>
    <row r="485" spans="1:32" ht="14.25">
      <c r="A485" s="154">
        <v>7002</v>
      </c>
      <c r="B485" s="992" t="s">
        <v>1501</v>
      </c>
      <c r="C485" s="763" t="s">
        <v>1351</v>
      </c>
      <c r="D485" s="510">
        <v>133</v>
      </c>
      <c r="E485" s="504">
        <v>189000</v>
      </c>
      <c r="F485" s="621">
        <v>300</v>
      </c>
      <c r="G485" s="1065">
        <v>230</v>
      </c>
      <c r="H485" s="511">
        <v>190</v>
      </c>
      <c r="I485" s="511">
        <v>280</v>
      </c>
      <c r="J485" s="764">
        <v>80</v>
      </c>
      <c r="K485" s="145">
        <v>60</v>
      </c>
      <c r="L485" s="492">
        <v>12</v>
      </c>
      <c r="M485" s="780">
        <v>2800</v>
      </c>
      <c r="N485" s="500">
        <v>0.25</v>
      </c>
      <c r="O485" s="788">
        <v>0.4</v>
      </c>
      <c r="P485" s="492">
        <v>158</v>
      </c>
      <c r="Q485" s="609">
        <v>0.04</v>
      </c>
      <c r="R485" s="610">
        <v>573.65</v>
      </c>
      <c r="S485" s="610">
        <v>63</v>
      </c>
      <c r="T485" s="1277">
        <v>16946</v>
      </c>
      <c r="U485" s="608">
        <v>3.2602499999999996</v>
      </c>
      <c r="V485" s="506">
        <v>27</v>
      </c>
      <c r="W485" s="506">
        <v>33.075</v>
      </c>
      <c r="X485" s="608">
        <v>1.12</v>
      </c>
      <c r="Y485" s="823">
        <v>60.075</v>
      </c>
      <c r="Z485" s="892">
        <v>299.09</v>
      </c>
      <c r="AA485" s="861"/>
      <c r="AB485" s="849">
        <v>125</v>
      </c>
      <c r="AC485" s="939">
        <v>878</v>
      </c>
      <c r="AD485" s="826" t="s">
        <v>483</v>
      </c>
      <c r="AE485" s="826">
        <v>1</v>
      </c>
      <c r="AF485" s="804">
        <v>7002</v>
      </c>
    </row>
    <row r="486" spans="1:32" ht="14.25">
      <c r="A486" s="990">
        <v>7003</v>
      </c>
      <c r="B486" s="991" t="s">
        <v>1501</v>
      </c>
      <c r="C486" s="993" t="s">
        <v>1352</v>
      </c>
      <c r="D486" s="1040">
        <v>143</v>
      </c>
      <c r="E486" s="1028">
        <v>225000</v>
      </c>
      <c r="F486" s="1049">
        <v>330</v>
      </c>
      <c r="G486" s="1066">
        <v>230</v>
      </c>
      <c r="H486" s="620">
        <v>200</v>
      </c>
      <c r="I486" s="620">
        <v>290</v>
      </c>
      <c r="J486" s="1031">
        <v>85</v>
      </c>
      <c r="K486" s="1032">
        <v>60</v>
      </c>
      <c r="L486" s="1251">
        <v>12</v>
      </c>
      <c r="M486" s="1232">
        <v>2800</v>
      </c>
      <c r="N486" s="1264">
        <v>0.25</v>
      </c>
      <c r="O486" s="815">
        <v>0.35</v>
      </c>
      <c r="P486" s="812">
        <v>162</v>
      </c>
      <c r="Q486" s="507">
        <v>0.02</v>
      </c>
      <c r="R486" s="201">
        <v>1240</v>
      </c>
      <c r="S486" s="201">
        <v>63</v>
      </c>
      <c r="T486" s="1278">
        <v>19922</v>
      </c>
      <c r="U486" s="506">
        <v>5.372</v>
      </c>
      <c r="V486" s="613">
        <v>28.125</v>
      </c>
      <c r="W486" s="613">
        <v>39.69</v>
      </c>
      <c r="X486" s="506">
        <v>0.56</v>
      </c>
      <c r="Y486" s="827">
        <v>67.815</v>
      </c>
      <c r="Z486" s="891">
        <v>332.41061764705887</v>
      </c>
      <c r="AA486" s="838"/>
      <c r="AB486" s="847">
        <v>150</v>
      </c>
      <c r="AC486" s="940">
        <v>950</v>
      </c>
      <c r="AD486" s="830" t="s">
        <v>483</v>
      </c>
      <c r="AE486" s="830">
        <v>1</v>
      </c>
      <c r="AF486" s="803">
        <v>7003</v>
      </c>
    </row>
    <row r="487" spans="1:32" ht="14.25">
      <c r="A487" s="154">
        <v>7004</v>
      </c>
      <c r="B487" s="992" t="s">
        <v>1501</v>
      </c>
      <c r="C487" s="763" t="s">
        <v>1353</v>
      </c>
      <c r="D487" s="510">
        <v>162</v>
      </c>
      <c r="E487" s="504">
        <v>266000</v>
      </c>
      <c r="F487" s="621">
        <v>380</v>
      </c>
      <c r="G487" s="1065">
        <v>230</v>
      </c>
      <c r="H487" s="511">
        <v>200</v>
      </c>
      <c r="I487" s="511">
        <v>290</v>
      </c>
      <c r="J487" s="764">
        <v>90</v>
      </c>
      <c r="K487" s="145">
        <v>70</v>
      </c>
      <c r="L487" s="492">
        <v>12</v>
      </c>
      <c r="M487" s="780">
        <v>2800</v>
      </c>
      <c r="N487" s="500">
        <v>0.25</v>
      </c>
      <c r="O487" s="788">
        <v>0.35</v>
      </c>
      <c r="P487" s="492">
        <v>176</v>
      </c>
      <c r="Q487" s="609">
        <v>0.05</v>
      </c>
      <c r="R487" s="610">
        <v>1080.25</v>
      </c>
      <c r="S487" s="610">
        <v>203</v>
      </c>
      <c r="T487" s="1277">
        <v>23368</v>
      </c>
      <c r="U487" s="608">
        <v>6.56125</v>
      </c>
      <c r="V487" s="506">
        <v>33.25</v>
      </c>
      <c r="W487" s="506">
        <v>54.0225</v>
      </c>
      <c r="X487" s="608">
        <v>1.4000000000000001</v>
      </c>
      <c r="Y487" s="823">
        <v>87.27250000000001</v>
      </c>
      <c r="Z487" s="892">
        <v>381.6086388888889</v>
      </c>
      <c r="AA487" s="861"/>
      <c r="AB487" s="849">
        <v>175</v>
      </c>
      <c r="AC487" s="939">
        <v>1032</v>
      </c>
      <c r="AD487" s="826" t="s">
        <v>483</v>
      </c>
      <c r="AE487" s="826">
        <v>1</v>
      </c>
      <c r="AF487" s="804">
        <v>7004</v>
      </c>
    </row>
    <row r="488" spans="1:32" ht="14.25">
      <c r="A488" s="990">
        <v>7005</v>
      </c>
      <c r="B488" s="991" t="s">
        <v>1501</v>
      </c>
      <c r="C488" s="993" t="s">
        <v>1354</v>
      </c>
      <c r="D488" s="1040">
        <v>175</v>
      </c>
      <c r="E488" s="1028">
        <v>330000</v>
      </c>
      <c r="F488" s="1049">
        <v>430</v>
      </c>
      <c r="G488" s="1066">
        <v>250</v>
      </c>
      <c r="H488" s="620">
        <v>210</v>
      </c>
      <c r="I488" s="620">
        <v>300</v>
      </c>
      <c r="J488" s="1031">
        <v>100</v>
      </c>
      <c r="K488" s="1032">
        <v>70</v>
      </c>
      <c r="L488" s="1251">
        <v>12</v>
      </c>
      <c r="M488" s="1232">
        <v>2800</v>
      </c>
      <c r="N488" s="1264">
        <v>0.25</v>
      </c>
      <c r="O488" s="815">
        <v>0.3</v>
      </c>
      <c r="P488" s="812">
        <v>180</v>
      </c>
      <c r="Q488" s="507">
        <v>0.05</v>
      </c>
      <c r="R488" s="201">
        <v>765.6</v>
      </c>
      <c r="S488" s="201">
        <v>203</v>
      </c>
      <c r="T488" s="1278">
        <v>28640</v>
      </c>
      <c r="U488" s="506">
        <v>4.931</v>
      </c>
      <c r="V488" s="613">
        <v>35.357142857142854</v>
      </c>
      <c r="W488" s="613">
        <v>67.914</v>
      </c>
      <c r="X488" s="506">
        <v>1.4000000000000001</v>
      </c>
      <c r="Y488" s="827">
        <v>103.27114285714285</v>
      </c>
      <c r="Z488" s="891">
        <v>428.6382571428572</v>
      </c>
      <c r="AA488" s="838"/>
      <c r="AB488" s="847">
        <v>220</v>
      </c>
      <c r="AC488" s="940">
        <v>1160</v>
      </c>
      <c r="AD488" s="830" t="s">
        <v>483</v>
      </c>
      <c r="AE488" s="830">
        <v>1</v>
      </c>
      <c r="AF488" s="803">
        <v>7005</v>
      </c>
    </row>
    <row r="489" spans="1:32" ht="14.25">
      <c r="A489" s="531">
        <v>7006</v>
      </c>
      <c r="B489" s="763" t="s">
        <v>1501</v>
      </c>
      <c r="C489" s="763" t="s">
        <v>1222</v>
      </c>
      <c r="D489" s="510">
        <v>189</v>
      </c>
      <c r="E489" s="504">
        <v>371000</v>
      </c>
      <c r="F489" s="621">
        <v>450</v>
      </c>
      <c r="G489" s="1065">
        <v>240</v>
      </c>
      <c r="H489" s="511">
        <v>200</v>
      </c>
      <c r="I489" s="511">
        <v>300</v>
      </c>
      <c r="J489" s="764">
        <v>110</v>
      </c>
      <c r="K489" s="145">
        <v>70</v>
      </c>
      <c r="L489" s="492">
        <v>12</v>
      </c>
      <c r="M489" s="780">
        <v>2800</v>
      </c>
      <c r="N489" s="500">
        <v>0.25</v>
      </c>
      <c r="O489" s="788">
        <v>0.3</v>
      </c>
      <c r="P489" s="492">
        <v>185</v>
      </c>
      <c r="Q489" s="609">
        <v>0.05</v>
      </c>
      <c r="R489" s="610">
        <v>2349</v>
      </c>
      <c r="S489" s="610">
        <v>308</v>
      </c>
      <c r="T489" s="1277">
        <v>32032</v>
      </c>
      <c r="U489" s="608">
        <v>10.844</v>
      </c>
      <c r="V489" s="506">
        <v>39.75</v>
      </c>
      <c r="W489" s="506">
        <v>79.3359</v>
      </c>
      <c r="X489" s="608">
        <v>1.4000000000000001</v>
      </c>
      <c r="Y489" s="823">
        <v>119.0859</v>
      </c>
      <c r="Z489" s="892">
        <v>451.31449</v>
      </c>
      <c r="AA489" s="861"/>
      <c r="AB489" s="849">
        <v>257</v>
      </c>
      <c r="AC489" s="939">
        <v>1242</v>
      </c>
      <c r="AD489" s="826" t="s">
        <v>483</v>
      </c>
      <c r="AE489" s="826">
        <v>1</v>
      </c>
      <c r="AF489" s="531">
        <v>7006</v>
      </c>
    </row>
    <row r="490" spans="1:32" ht="14.25">
      <c r="A490" s="1010">
        <v>7007</v>
      </c>
      <c r="B490" s="1011" t="s">
        <v>1501</v>
      </c>
      <c r="C490" s="1011" t="s">
        <v>1355</v>
      </c>
      <c r="D490" s="1069">
        <v>200</v>
      </c>
      <c r="E490" s="1070">
        <v>405000</v>
      </c>
      <c r="F490" s="1136">
        <v>470</v>
      </c>
      <c r="G490" s="1137">
        <v>240</v>
      </c>
      <c r="H490" s="1138">
        <v>200</v>
      </c>
      <c r="I490" s="1138">
        <v>290</v>
      </c>
      <c r="J490" s="1074">
        <v>120</v>
      </c>
      <c r="K490" s="1075">
        <v>70</v>
      </c>
      <c r="L490" s="1254">
        <v>12</v>
      </c>
      <c r="M490" s="1255">
        <v>2800</v>
      </c>
      <c r="N490" s="1264">
        <v>0.25</v>
      </c>
      <c r="O490" s="815">
        <v>0.3</v>
      </c>
      <c r="P490" s="812">
        <v>185</v>
      </c>
      <c r="Q490" s="507">
        <v>0.05</v>
      </c>
      <c r="R490" s="201">
        <v>3523.5</v>
      </c>
      <c r="S490" s="201">
        <v>441</v>
      </c>
      <c r="T490" s="1281">
        <v>34820</v>
      </c>
      <c r="U490" s="506">
        <v>13.485</v>
      </c>
      <c r="V490" s="1073">
        <v>43.39285714285714</v>
      </c>
      <c r="W490" s="1073">
        <v>90.7578</v>
      </c>
      <c r="X490" s="506">
        <v>1.4000000000000001</v>
      </c>
      <c r="Y490" s="827">
        <v>134.15065714285714</v>
      </c>
      <c r="Z490" s="891">
        <v>466.74905619047627</v>
      </c>
      <c r="AA490" s="838"/>
      <c r="AB490" s="847">
        <v>294</v>
      </c>
      <c r="AC490" s="940">
        <v>1310</v>
      </c>
      <c r="AD490" s="830" t="s">
        <v>483</v>
      </c>
      <c r="AE490" s="830">
        <v>1</v>
      </c>
      <c r="AF490" s="807">
        <v>7007</v>
      </c>
    </row>
    <row r="491" spans="1:32" ht="14.25">
      <c r="A491" s="496"/>
      <c r="B491" s="761"/>
      <c r="C491" s="496"/>
      <c r="D491" s="510"/>
      <c r="E491" s="504"/>
      <c r="F491" s="532"/>
      <c r="G491" s="1065"/>
      <c r="H491" s="511"/>
      <c r="I491" s="511"/>
      <c r="J491" s="766"/>
      <c r="K491" s="495"/>
      <c r="L491" s="496"/>
      <c r="M491" s="782"/>
      <c r="N491" s="500" t="s">
        <v>413</v>
      </c>
      <c r="O491" s="788" t="s">
        <v>413</v>
      </c>
      <c r="P491" s="810"/>
      <c r="Q491" s="507"/>
      <c r="R491" s="201" t="s">
        <v>413</v>
      </c>
      <c r="S491" s="201"/>
      <c r="T491" s="1277" t="s">
        <v>413</v>
      </c>
      <c r="U491" s="506"/>
      <c r="V491" s="511"/>
      <c r="W491" s="511"/>
      <c r="X491" s="506"/>
      <c r="Y491" s="823" t="s">
        <v>413</v>
      </c>
      <c r="Z491" s="865"/>
      <c r="AA491" s="861"/>
      <c r="AB491" s="802"/>
      <c r="AC491" s="939" t="s">
        <v>413</v>
      </c>
      <c r="AD491" s="826" t="s">
        <v>413</v>
      </c>
      <c r="AE491" s="826"/>
      <c r="AF491" s="802"/>
    </row>
    <row r="492" spans="1:32" ht="14.25">
      <c r="A492" s="987">
        <v>7020</v>
      </c>
      <c r="B492" s="988"/>
      <c r="C492" s="989" t="s">
        <v>703</v>
      </c>
      <c r="D492" s="1021"/>
      <c r="E492" s="1022"/>
      <c r="F492" s="1023"/>
      <c r="G492" s="1024"/>
      <c r="H492" s="1025"/>
      <c r="I492" s="1025"/>
      <c r="J492" s="1026"/>
      <c r="K492" s="1026"/>
      <c r="L492" s="1021"/>
      <c r="M492" s="1026"/>
      <c r="N492" s="1263" t="s">
        <v>413</v>
      </c>
      <c r="O492" s="816" t="s">
        <v>413</v>
      </c>
      <c r="P492" s="809"/>
      <c r="Q492" s="603"/>
      <c r="R492" s="605" t="s">
        <v>413</v>
      </c>
      <c r="S492" s="606"/>
      <c r="T492" s="1276" t="s">
        <v>413</v>
      </c>
      <c r="U492" s="604"/>
      <c r="V492" s="1025"/>
      <c r="W492" s="1025"/>
      <c r="X492" s="604"/>
      <c r="Y492" s="833" t="s">
        <v>413</v>
      </c>
      <c r="Z492" s="820"/>
      <c r="AA492" s="821"/>
      <c r="AB492" s="822"/>
      <c r="AC492" s="938" t="s">
        <v>413</v>
      </c>
      <c r="AD492" s="822" t="s">
        <v>413</v>
      </c>
      <c r="AE492" s="822"/>
      <c r="AF492" s="801">
        <v>7020</v>
      </c>
    </row>
    <row r="493" spans="1:32" ht="14.25">
      <c r="A493" s="496"/>
      <c r="B493" s="761"/>
      <c r="C493" s="496"/>
      <c r="D493" s="510"/>
      <c r="E493" s="504"/>
      <c r="F493" s="532"/>
      <c r="G493" s="1065"/>
      <c r="H493" s="511"/>
      <c r="I493" s="511"/>
      <c r="J493" s="766"/>
      <c r="K493" s="495"/>
      <c r="L493" s="496"/>
      <c r="M493" s="782"/>
      <c r="N493" s="500" t="s">
        <v>413</v>
      </c>
      <c r="O493" s="788" t="s">
        <v>413</v>
      </c>
      <c r="P493" s="810"/>
      <c r="Q493" s="507"/>
      <c r="R493" s="201" t="s">
        <v>413</v>
      </c>
      <c r="S493" s="201"/>
      <c r="T493" s="1277" t="s">
        <v>413</v>
      </c>
      <c r="U493" s="506"/>
      <c r="V493" s="511"/>
      <c r="W493" s="511"/>
      <c r="X493" s="506"/>
      <c r="Y493" s="823" t="s">
        <v>413</v>
      </c>
      <c r="Z493" s="865"/>
      <c r="AA493" s="861"/>
      <c r="AB493" s="826" t="s">
        <v>420</v>
      </c>
      <c r="AC493" s="939" t="s">
        <v>413</v>
      </c>
      <c r="AD493" s="826" t="s">
        <v>413</v>
      </c>
      <c r="AE493" s="826"/>
      <c r="AF493" s="802"/>
    </row>
    <row r="494" spans="1:32" ht="14.25">
      <c r="A494" s="990">
        <v>7021</v>
      </c>
      <c r="B494" s="991"/>
      <c r="C494" s="991" t="s">
        <v>1521</v>
      </c>
      <c r="D494" s="1040">
        <v>120</v>
      </c>
      <c r="E494" s="1028">
        <v>25000</v>
      </c>
      <c r="F494" s="1041">
        <v>54</v>
      </c>
      <c r="G494" s="1067">
        <v>45</v>
      </c>
      <c r="H494" s="620">
        <v>38</v>
      </c>
      <c r="I494" s="620">
        <v>55</v>
      </c>
      <c r="J494" s="1043">
        <v>85</v>
      </c>
      <c r="K494" s="1032"/>
      <c r="L494" s="1251">
        <v>12</v>
      </c>
      <c r="M494" s="1252">
        <v>2500</v>
      </c>
      <c r="N494" s="1264">
        <v>0.25</v>
      </c>
      <c r="O494" s="815">
        <v>1.2</v>
      </c>
      <c r="P494" s="812">
        <v>62</v>
      </c>
      <c r="Q494" s="609">
        <v>0.1</v>
      </c>
      <c r="R494" s="610">
        <v>3784</v>
      </c>
      <c r="S494" s="610">
        <v>273</v>
      </c>
      <c r="T494" s="1278">
        <v>2422</v>
      </c>
      <c r="U494" s="608">
        <v>41.21</v>
      </c>
      <c r="V494" s="620">
        <v>12</v>
      </c>
      <c r="W494" s="620"/>
      <c r="X494" s="608">
        <v>2.8000000000000003</v>
      </c>
      <c r="Y494" s="846">
        <v>12</v>
      </c>
      <c r="Z494" s="828">
        <v>53.452235294117656</v>
      </c>
      <c r="AA494" s="838">
        <v>44.54352941176471</v>
      </c>
      <c r="AB494" s="893">
        <v>293.78519607843134</v>
      </c>
      <c r="AC494" s="940">
        <v>50</v>
      </c>
      <c r="AD494" s="830" t="s">
        <v>484</v>
      </c>
      <c r="AE494" s="830">
        <v>0</v>
      </c>
      <c r="AF494" s="803">
        <v>7021</v>
      </c>
    </row>
    <row r="495" spans="1:32" ht="14.25">
      <c r="A495" s="154">
        <v>7022</v>
      </c>
      <c r="B495" s="992"/>
      <c r="C495" s="992" t="s">
        <v>1522</v>
      </c>
      <c r="D495" s="510">
        <v>133</v>
      </c>
      <c r="E495" s="504">
        <v>31000</v>
      </c>
      <c r="F495" s="509">
        <v>64</v>
      </c>
      <c r="G495" s="1068">
        <v>48</v>
      </c>
      <c r="H495" s="511">
        <v>41</v>
      </c>
      <c r="I495" s="511">
        <v>59</v>
      </c>
      <c r="J495" s="766">
        <v>95</v>
      </c>
      <c r="L495" s="492">
        <v>12</v>
      </c>
      <c r="M495" s="782">
        <v>2800</v>
      </c>
      <c r="N495" s="500">
        <v>0.25</v>
      </c>
      <c r="O495" s="788">
        <v>1.1</v>
      </c>
      <c r="P495" s="492">
        <v>69</v>
      </c>
      <c r="Q495" s="507">
        <v>0.1</v>
      </c>
      <c r="R495" s="201">
        <v>6267.25</v>
      </c>
      <c r="S495" s="201">
        <v>825</v>
      </c>
      <c r="T495" s="1277">
        <v>2956</v>
      </c>
      <c r="U495" s="506">
        <v>47.98833333333334</v>
      </c>
      <c r="V495" s="511">
        <v>12.178571428571429</v>
      </c>
      <c r="W495" s="511"/>
      <c r="X495" s="506">
        <v>2.8000000000000003</v>
      </c>
      <c r="Y495" s="848">
        <v>12.178571428571429</v>
      </c>
      <c r="Z495" s="831">
        <v>63.33965000000001</v>
      </c>
      <c r="AA495" s="861">
        <v>47.62379699248121</v>
      </c>
      <c r="AB495" s="894">
        <v>272.50349624060146</v>
      </c>
      <c r="AC495" s="939">
        <v>62</v>
      </c>
      <c r="AD495" s="826" t="s">
        <v>484</v>
      </c>
      <c r="AE495" s="826">
        <v>0</v>
      </c>
      <c r="AF495" s="804">
        <v>7022</v>
      </c>
    </row>
    <row r="496" spans="1:32" ht="14.25">
      <c r="A496" s="990">
        <v>7023</v>
      </c>
      <c r="B496" s="991"/>
      <c r="C496" s="991" t="s">
        <v>1523</v>
      </c>
      <c r="D496" s="1040">
        <v>143</v>
      </c>
      <c r="E496" s="1028">
        <v>42000</v>
      </c>
      <c r="F496" s="1041">
        <v>77</v>
      </c>
      <c r="G496" s="1067">
        <v>54</v>
      </c>
      <c r="H496" s="620">
        <v>46</v>
      </c>
      <c r="I496" s="620">
        <v>68</v>
      </c>
      <c r="J496" s="1043">
        <v>105</v>
      </c>
      <c r="K496" s="1032"/>
      <c r="L496" s="1251">
        <v>12</v>
      </c>
      <c r="M496" s="1252">
        <v>3100</v>
      </c>
      <c r="N496" s="1264">
        <v>0.25</v>
      </c>
      <c r="O496" s="815">
        <v>0.9</v>
      </c>
      <c r="P496" s="812">
        <v>76</v>
      </c>
      <c r="Q496" s="609">
        <v>0.125</v>
      </c>
      <c r="R496" s="610">
        <v>4020.5</v>
      </c>
      <c r="S496" s="610">
        <v>329</v>
      </c>
      <c r="T496" s="1278">
        <v>3900</v>
      </c>
      <c r="U496" s="608">
        <v>36.8125</v>
      </c>
      <c r="V496" s="620">
        <v>12.193548387096774</v>
      </c>
      <c r="W496" s="620"/>
      <c r="X496" s="608">
        <v>3.5</v>
      </c>
      <c r="Y496" s="846">
        <v>12.193548387096774</v>
      </c>
      <c r="Z496" s="828">
        <v>77.60616589861753</v>
      </c>
      <c r="AA496" s="838">
        <v>54.27004608294932</v>
      </c>
      <c r="AB496" s="893">
        <v>286.72502345851495</v>
      </c>
      <c r="AC496" s="940">
        <v>84</v>
      </c>
      <c r="AD496" s="830" t="s">
        <v>484</v>
      </c>
      <c r="AE496" s="830">
        <v>0</v>
      </c>
      <c r="AF496" s="803">
        <v>7023</v>
      </c>
    </row>
    <row r="497" spans="1:32" ht="14.25">
      <c r="A497" s="154">
        <v>7024</v>
      </c>
      <c r="B497" s="992"/>
      <c r="C497" s="992" t="s">
        <v>1524</v>
      </c>
      <c r="D497" s="510">
        <v>168</v>
      </c>
      <c r="E497" s="504">
        <v>48000</v>
      </c>
      <c r="F497" s="509">
        <v>92</v>
      </c>
      <c r="G497" s="1068">
        <v>55</v>
      </c>
      <c r="H497" s="511">
        <v>47</v>
      </c>
      <c r="I497" s="511">
        <v>69</v>
      </c>
      <c r="J497" s="766">
        <v>115</v>
      </c>
      <c r="L497" s="492">
        <v>12</v>
      </c>
      <c r="M497" s="782">
        <v>3700</v>
      </c>
      <c r="N497" s="500">
        <v>0.25</v>
      </c>
      <c r="O497" s="788">
        <v>0.9</v>
      </c>
      <c r="P497" s="492">
        <v>80</v>
      </c>
      <c r="Q497" s="507"/>
      <c r="R497" s="201" t="s">
        <v>413</v>
      </c>
      <c r="S497" s="201"/>
      <c r="T497" s="1277">
        <v>4416</v>
      </c>
      <c r="U497" s="520"/>
      <c r="V497" s="511">
        <v>11.675675675675677</v>
      </c>
      <c r="W497" s="511"/>
      <c r="X497" s="520"/>
      <c r="Y497" s="848">
        <v>11.675675675675677</v>
      </c>
      <c r="Z497" s="831">
        <v>92.53984864864866</v>
      </c>
      <c r="AA497" s="861">
        <v>55.083243243243246</v>
      </c>
      <c r="AB497" s="894">
        <v>282.2312425818676</v>
      </c>
      <c r="AC497" s="939">
        <v>96</v>
      </c>
      <c r="AD497" s="826" t="s">
        <v>484</v>
      </c>
      <c r="AE497" s="826">
        <v>0</v>
      </c>
      <c r="AF497" s="804">
        <v>7024</v>
      </c>
    </row>
    <row r="498" spans="1:32" ht="14.25">
      <c r="A498" s="990">
        <v>7025</v>
      </c>
      <c r="B498" s="991"/>
      <c r="C498" s="991" t="s">
        <v>1525</v>
      </c>
      <c r="D498" s="1040">
        <v>189</v>
      </c>
      <c r="E498" s="1028">
        <v>54000</v>
      </c>
      <c r="F498" s="1041">
        <v>98</v>
      </c>
      <c r="G498" s="1067">
        <v>52</v>
      </c>
      <c r="H498" s="620">
        <v>44</v>
      </c>
      <c r="I498" s="620">
        <v>64</v>
      </c>
      <c r="J498" s="1043">
        <v>140</v>
      </c>
      <c r="K498" s="1032"/>
      <c r="L498" s="1251">
        <v>12</v>
      </c>
      <c r="M498" s="1252">
        <v>4200</v>
      </c>
      <c r="N498" s="1264">
        <v>0.25</v>
      </c>
      <c r="O498" s="815">
        <v>0.9</v>
      </c>
      <c r="P498" s="812">
        <v>85</v>
      </c>
      <c r="Q498" s="626"/>
      <c r="R498" s="627" t="s">
        <v>413</v>
      </c>
      <c r="S498" s="627"/>
      <c r="T498" s="1278">
        <v>4938</v>
      </c>
      <c r="U498" s="625"/>
      <c r="V498" s="620">
        <v>11.571428571428573</v>
      </c>
      <c r="W498" s="620"/>
      <c r="X498" s="625"/>
      <c r="Y498" s="846">
        <v>11.571428571428573</v>
      </c>
      <c r="Z498" s="828">
        <v>97.3863</v>
      </c>
      <c r="AA498" s="838">
        <v>51.52714285714286</v>
      </c>
      <c r="AB498" s="893">
        <v>290.3178783068783</v>
      </c>
      <c r="AC498" s="940">
        <v>108</v>
      </c>
      <c r="AD498" s="830" t="s">
        <v>484</v>
      </c>
      <c r="AE498" s="830">
        <v>0</v>
      </c>
      <c r="AF498" s="803">
        <v>7025</v>
      </c>
    </row>
    <row r="499" spans="1:32" ht="14.25">
      <c r="A499" s="154">
        <v>7026</v>
      </c>
      <c r="B499" s="992"/>
      <c r="C499" s="992" t="s">
        <v>1526</v>
      </c>
      <c r="D499" s="510">
        <v>200</v>
      </c>
      <c r="E499" s="504">
        <v>61000</v>
      </c>
      <c r="F499" s="509">
        <v>108</v>
      </c>
      <c r="G499" s="1068">
        <v>54</v>
      </c>
      <c r="H499" s="511">
        <v>46</v>
      </c>
      <c r="I499" s="511">
        <v>67</v>
      </c>
      <c r="J499" s="766">
        <v>150</v>
      </c>
      <c r="L499" s="492">
        <v>12</v>
      </c>
      <c r="M499" s="782">
        <v>4200</v>
      </c>
      <c r="N499" s="500">
        <v>0.25</v>
      </c>
      <c r="O499" s="788">
        <v>0.85</v>
      </c>
      <c r="P499" s="492">
        <v>85</v>
      </c>
      <c r="Q499" s="507"/>
      <c r="R499" s="201" t="s">
        <v>413</v>
      </c>
      <c r="S499" s="201"/>
      <c r="T499" s="1277">
        <v>5512</v>
      </c>
      <c r="U499" s="511"/>
      <c r="V499" s="511">
        <v>12.345238095238095</v>
      </c>
      <c r="W499" s="511"/>
      <c r="X499" s="511"/>
      <c r="Y499" s="848">
        <v>12.345238095238095</v>
      </c>
      <c r="Z499" s="831">
        <v>108.00219047619049</v>
      </c>
      <c r="AA499" s="861">
        <v>54.001095238095246</v>
      </c>
      <c r="AB499" s="894">
        <v>287.37562333333335</v>
      </c>
      <c r="AC499" s="939">
        <v>122</v>
      </c>
      <c r="AD499" s="826" t="s">
        <v>484</v>
      </c>
      <c r="AE499" s="826">
        <v>0</v>
      </c>
      <c r="AF499" s="804">
        <v>7026</v>
      </c>
    </row>
    <row r="500" spans="1:32" ht="14.25">
      <c r="A500" s="154"/>
      <c r="B500" s="992"/>
      <c r="C500" s="992"/>
      <c r="D500" s="510"/>
      <c r="E500" s="504"/>
      <c r="F500" s="509"/>
      <c r="G500" s="1065"/>
      <c r="H500" s="511"/>
      <c r="I500" s="511"/>
      <c r="J500" s="766"/>
      <c r="L500" s="492"/>
      <c r="M500" s="782"/>
      <c r="N500" s="500"/>
      <c r="O500" s="788" t="s">
        <v>413</v>
      </c>
      <c r="P500" s="492"/>
      <c r="Q500" s="603"/>
      <c r="R500" s="605" t="s">
        <v>413</v>
      </c>
      <c r="S500" s="606"/>
      <c r="T500" s="1277" t="s">
        <v>413</v>
      </c>
      <c r="U500" s="604"/>
      <c r="V500" s="511"/>
      <c r="W500" s="511"/>
      <c r="X500" s="604"/>
      <c r="Y500" s="823" t="s">
        <v>413</v>
      </c>
      <c r="Z500" s="831"/>
      <c r="AA500" s="861"/>
      <c r="AB500" s="894"/>
      <c r="AC500" s="939"/>
      <c r="AD500" s="826" t="s">
        <v>413</v>
      </c>
      <c r="AE500" s="826"/>
      <c r="AF500" s="804"/>
    </row>
    <row r="501" spans="1:32" ht="14.25">
      <c r="A501" s="987">
        <v>7040</v>
      </c>
      <c r="B501" s="988"/>
      <c r="C501" s="995" t="s">
        <v>1527</v>
      </c>
      <c r="D501" s="1139"/>
      <c r="E501" s="1022"/>
      <c r="F501" s="1023"/>
      <c r="G501" s="1024"/>
      <c r="H501" s="1025"/>
      <c r="I501" s="1025"/>
      <c r="J501" s="1026"/>
      <c r="K501" s="1026"/>
      <c r="L501" s="1021"/>
      <c r="M501" s="1026"/>
      <c r="N501" s="1263" t="s">
        <v>413</v>
      </c>
      <c r="O501" s="816" t="s">
        <v>413</v>
      </c>
      <c r="P501" s="809"/>
      <c r="Q501" s="507"/>
      <c r="R501" s="201" t="s">
        <v>413</v>
      </c>
      <c r="S501" s="201"/>
      <c r="T501" s="1276" t="s">
        <v>413</v>
      </c>
      <c r="U501" s="511"/>
      <c r="V501" s="1025"/>
      <c r="W501" s="1025"/>
      <c r="X501" s="511"/>
      <c r="Y501" s="833" t="s">
        <v>413</v>
      </c>
      <c r="Z501" s="820"/>
      <c r="AA501" s="821"/>
      <c r="AB501" s="822"/>
      <c r="AC501" s="938" t="s">
        <v>413</v>
      </c>
      <c r="AD501" s="822" t="s">
        <v>413</v>
      </c>
      <c r="AE501" s="822"/>
      <c r="AF501" s="801">
        <v>7040</v>
      </c>
    </row>
    <row r="502" spans="1:32" ht="14.25">
      <c r="A502" s="496"/>
      <c r="B502" s="761"/>
      <c r="C502" s="496"/>
      <c r="D502" s="510"/>
      <c r="E502" s="504"/>
      <c r="F502" s="532"/>
      <c r="G502" s="1065"/>
      <c r="H502" s="511"/>
      <c r="I502" s="511"/>
      <c r="J502" s="766"/>
      <c r="K502" s="495"/>
      <c r="L502" s="496"/>
      <c r="M502" s="782"/>
      <c r="N502" s="500" t="s">
        <v>413</v>
      </c>
      <c r="O502" s="788" t="s">
        <v>413</v>
      </c>
      <c r="P502" s="810"/>
      <c r="Q502" s="609">
        <v>0.33</v>
      </c>
      <c r="R502" s="610">
        <v>15486.6</v>
      </c>
      <c r="S502" s="610">
        <v>952</v>
      </c>
      <c r="T502" s="1277" t="s">
        <v>413</v>
      </c>
      <c r="U502" s="608">
        <v>215.70749999999998</v>
      </c>
      <c r="V502" s="511"/>
      <c r="W502" s="511"/>
      <c r="X502" s="608">
        <v>9.24</v>
      </c>
      <c r="Y502" s="823" t="s">
        <v>413</v>
      </c>
      <c r="Z502" s="865"/>
      <c r="AA502" s="861"/>
      <c r="AB502" s="802"/>
      <c r="AC502" s="939" t="s">
        <v>413</v>
      </c>
      <c r="AD502" s="826" t="s">
        <v>413</v>
      </c>
      <c r="AE502" s="826"/>
      <c r="AF502" s="802"/>
    </row>
    <row r="503" spans="1:32" ht="14.25">
      <c r="A503" s="154">
        <v>7046</v>
      </c>
      <c r="B503" s="992"/>
      <c r="C503" s="992" t="s">
        <v>1528</v>
      </c>
      <c r="D503" s="510">
        <v>120</v>
      </c>
      <c r="E503" s="504">
        <v>70000</v>
      </c>
      <c r="F503" s="509">
        <v>168</v>
      </c>
      <c r="G503" s="1068">
        <v>140</v>
      </c>
      <c r="H503" s="1140"/>
      <c r="I503" s="511">
        <v>170</v>
      </c>
      <c r="J503" s="766">
        <v>100</v>
      </c>
      <c r="L503" s="492">
        <v>10</v>
      </c>
      <c r="M503" s="782">
        <v>1200</v>
      </c>
      <c r="N503" s="500">
        <v>0.1</v>
      </c>
      <c r="O503" s="788">
        <v>0.8</v>
      </c>
      <c r="P503" s="492">
        <v>49</v>
      </c>
      <c r="Q503" s="507">
        <v>0.33</v>
      </c>
      <c r="R503" s="201">
        <v>17921.6</v>
      </c>
      <c r="S503" s="201">
        <v>1106</v>
      </c>
      <c r="T503" s="1277">
        <v>7854</v>
      </c>
      <c r="U503" s="506">
        <v>248.695</v>
      </c>
      <c r="V503" s="511">
        <v>46.66666666666667</v>
      </c>
      <c r="W503" s="511"/>
      <c r="X503" s="506">
        <v>9.24</v>
      </c>
      <c r="Y503" s="848">
        <v>46.66666666666667</v>
      </c>
      <c r="Z503" s="831">
        <v>165.27280000000002</v>
      </c>
      <c r="AA503" s="861">
        <v>137.72733333333335</v>
      </c>
      <c r="AB503" s="826"/>
      <c r="AC503" s="939">
        <v>140</v>
      </c>
      <c r="AD503" s="826" t="s">
        <v>484</v>
      </c>
      <c r="AE503" s="826">
        <v>0</v>
      </c>
      <c r="AF503" s="804">
        <v>7046</v>
      </c>
    </row>
    <row r="504" spans="1:32" ht="14.25">
      <c r="A504" s="990">
        <v>7047</v>
      </c>
      <c r="B504" s="1012"/>
      <c r="C504" s="991" t="s">
        <v>1529</v>
      </c>
      <c r="D504" s="1040">
        <v>140</v>
      </c>
      <c r="E504" s="1028">
        <v>91000</v>
      </c>
      <c r="F504" s="1041">
        <v>200</v>
      </c>
      <c r="G504" s="1067">
        <v>140</v>
      </c>
      <c r="H504" s="1141"/>
      <c r="I504" s="620">
        <v>170</v>
      </c>
      <c r="J504" s="1043">
        <v>130</v>
      </c>
      <c r="K504" s="1032"/>
      <c r="L504" s="1251">
        <v>10</v>
      </c>
      <c r="M504" s="1252">
        <v>1500</v>
      </c>
      <c r="N504" s="1264">
        <v>0</v>
      </c>
      <c r="O504" s="815">
        <v>0.7</v>
      </c>
      <c r="P504" s="812">
        <v>49</v>
      </c>
      <c r="Q504" s="609">
        <v>0.25</v>
      </c>
      <c r="R504" s="610">
        <v>21817.6</v>
      </c>
      <c r="S504" s="610">
        <v>1134</v>
      </c>
      <c r="T504" s="1278">
        <v>10941</v>
      </c>
      <c r="U504" s="608">
        <v>281.1717647058823</v>
      </c>
      <c r="V504" s="620">
        <v>42.46666666666666</v>
      </c>
      <c r="W504" s="620"/>
      <c r="X504" s="608">
        <v>7</v>
      </c>
      <c r="Y504" s="846">
        <v>42.46666666666666</v>
      </c>
      <c r="Z504" s="828">
        <v>195.0074358974359</v>
      </c>
      <c r="AA504" s="838">
        <v>139.29102564102564</v>
      </c>
      <c r="AB504" s="830"/>
      <c r="AC504" s="940">
        <v>182</v>
      </c>
      <c r="AD504" s="830" t="s">
        <v>484</v>
      </c>
      <c r="AE504" s="830">
        <v>0</v>
      </c>
      <c r="AF504" s="803">
        <v>7047</v>
      </c>
    </row>
    <row r="505" spans="1:32" ht="14.25">
      <c r="A505" s="154">
        <v>7050</v>
      </c>
      <c r="B505" s="1013"/>
      <c r="C505" s="992" t="s">
        <v>1009</v>
      </c>
      <c r="D505" s="510">
        <v>140</v>
      </c>
      <c r="E505" s="504">
        <v>15000</v>
      </c>
      <c r="F505" s="509">
        <v>100</v>
      </c>
      <c r="G505" s="1068">
        <v>72</v>
      </c>
      <c r="H505" s="522">
        <v>60</v>
      </c>
      <c r="I505" s="511">
        <v>90</v>
      </c>
      <c r="J505" s="766">
        <v>30</v>
      </c>
      <c r="L505" s="492">
        <v>10</v>
      </c>
      <c r="M505" s="782">
        <v>1500</v>
      </c>
      <c r="N505" s="500">
        <v>0.25</v>
      </c>
      <c r="O505" s="788">
        <v>0.85</v>
      </c>
      <c r="P505" s="492">
        <v>49</v>
      </c>
      <c r="Q505" s="507">
        <v>0.25</v>
      </c>
      <c r="R505" s="201">
        <v>24350</v>
      </c>
      <c r="S505" s="201">
        <v>1232</v>
      </c>
      <c r="T505" s="1277">
        <v>1711.5</v>
      </c>
      <c r="U505" s="506">
        <v>295.35555555555555</v>
      </c>
      <c r="V505" s="511">
        <v>8.5</v>
      </c>
      <c r="W505" s="511"/>
      <c r="X505" s="506">
        <v>7</v>
      </c>
      <c r="Y505" s="848">
        <v>8.5</v>
      </c>
      <c r="Z505" s="831">
        <v>100.947</v>
      </c>
      <c r="AA505" s="861">
        <v>72.105</v>
      </c>
      <c r="AB505" s="826"/>
      <c r="AC505" s="939">
        <v>30</v>
      </c>
      <c r="AD505" s="826" t="s">
        <v>484</v>
      </c>
      <c r="AE505" s="826">
        <v>0</v>
      </c>
      <c r="AF505" s="804">
        <v>7050</v>
      </c>
    </row>
    <row r="506" spans="1:32" ht="14.25">
      <c r="A506" s="990">
        <v>7051</v>
      </c>
      <c r="B506" s="1012"/>
      <c r="C506" s="991" t="s">
        <v>1010</v>
      </c>
      <c r="D506" s="1040">
        <v>140</v>
      </c>
      <c r="E506" s="1028">
        <v>10000</v>
      </c>
      <c r="F506" s="1041">
        <v>70</v>
      </c>
      <c r="G506" s="1067">
        <v>52</v>
      </c>
      <c r="H506" s="1111">
        <v>43</v>
      </c>
      <c r="I506" s="620">
        <v>70</v>
      </c>
      <c r="J506" s="1043">
        <v>30</v>
      </c>
      <c r="K506" s="1032"/>
      <c r="L506" s="1251">
        <v>10</v>
      </c>
      <c r="M506" s="1252">
        <v>1500</v>
      </c>
      <c r="N506" s="1264">
        <v>0.25</v>
      </c>
      <c r="O506" s="815">
        <v>0.95</v>
      </c>
      <c r="P506" s="812">
        <v>49</v>
      </c>
      <c r="Q506" s="609">
        <v>0.2</v>
      </c>
      <c r="R506" s="610">
        <v>32142</v>
      </c>
      <c r="S506" s="610">
        <v>1260</v>
      </c>
      <c r="T506" s="1278">
        <v>1239</v>
      </c>
      <c r="U506" s="608">
        <v>345.62</v>
      </c>
      <c r="V506" s="620">
        <v>6.333333333333333</v>
      </c>
      <c r="W506" s="620"/>
      <c r="X506" s="608">
        <v>5.6000000000000005</v>
      </c>
      <c r="Y506" s="846">
        <v>6.333333333333333</v>
      </c>
      <c r="Z506" s="828">
        <v>73.35533333333333</v>
      </c>
      <c r="AA506" s="838">
        <v>52.39666666666667</v>
      </c>
      <c r="AB506" s="830"/>
      <c r="AC506" s="940">
        <v>20</v>
      </c>
      <c r="AD506" s="830" t="s">
        <v>484</v>
      </c>
      <c r="AE506" s="830">
        <v>0</v>
      </c>
      <c r="AF506" s="803">
        <v>7051</v>
      </c>
    </row>
    <row r="507" spans="1:32" ht="14.25">
      <c r="A507" s="496"/>
      <c r="B507" s="761"/>
      <c r="C507" s="496"/>
      <c r="D507" s="510"/>
      <c r="E507" s="504"/>
      <c r="F507" s="509"/>
      <c r="G507" s="1065"/>
      <c r="H507" s="511"/>
      <c r="I507" s="511"/>
      <c r="J507" s="766"/>
      <c r="K507" s="495"/>
      <c r="L507" s="496"/>
      <c r="M507" s="766"/>
      <c r="N507" s="500" t="s">
        <v>413</v>
      </c>
      <c r="O507" s="788" t="s">
        <v>413</v>
      </c>
      <c r="P507" s="810"/>
      <c r="Q507" s="507">
        <v>0.2</v>
      </c>
      <c r="R507" s="201">
        <v>37693.8</v>
      </c>
      <c r="S507" s="201">
        <v>1295</v>
      </c>
      <c r="T507" s="1277" t="s">
        <v>413</v>
      </c>
      <c r="U507" s="506">
        <v>366.0254545454546</v>
      </c>
      <c r="V507" s="511"/>
      <c r="W507" s="506"/>
      <c r="X507" s="506">
        <v>5.6000000000000005</v>
      </c>
      <c r="Y507" s="848" t="s">
        <v>413</v>
      </c>
      <c r="Z507" s="831"/>
      <c r="AA507" s="861"/>
      <c r="AB507" s="802"/>
      <c r="AC507" s="939" t="s">
        <v>413</v>
      </c>
      <c r="AD507" s="826" t="s">
        <v>413</v>
      </c>
      <c r="AE507" s="826"/>
      <c r="AF507" s="802"/>
    </row>
    <row r="508" spans="1:32" ht="14.25">
      <c r="A508" s="987">
        <v>7060</v>
      </c>
      <c r="B508" s="988"/>
      <c r="C508" s="995" t="s">
        <v>704</v>
      </c>
      <c r="D508" s="1139"/>
      <c r="E508" s="1022"/>
      <c r="F508" s="1023"/>
      <c r="G508" s="1024"/>
      <c r="H508" s="1025"/>
      <c r="I508" s="1025"/>
      <c r="J508" s="1026"/>
      <c r="K508" s="1026"/>
      <c r="L508" s="1021"/>
      <c r="M508" s="1026"/>
      <c r="N508" s="1263" t="s">
        <v>413</v>
      </c>
      <c r="O508" s="816" t="s">
        <v>413</v>
      </c>
      <c r="P508" s="809"/>
      <c r="Q508" s="507"/>
      <c r="R508" s="201" t="s">
        <v>413</v>
      </c>
      <c r="S508" s="201"/>
      <c r="T508" s="1276" t="s">
        <v>413</v>
      </c>
      <c r="U508" s="511"/>
      <c r="V508" s="1025"/>
      <c r="W508" s="1025"/>
      <c r="X508" s="511"/>
      <c r="Y508" s="874" t="s">
        <v>413</v>
      </c>
      <c r="Z508" s="820"/>
      <c r="AA508" s="821"/>
      <c r="AB508" s="822"/>
      <c r="AC508" s="938" t="s">
        <v>413</v>
      </c>
      <c r="AD508" s="822" t="s">
        <v>413</v>
      </c>
      <c r="AE508" s="822"/>
      <c r="AF508" s="801">
        <v>7060</v>
      </c>
    </row>
    <row r="509" spans="1:32" ht="14.25">
      <c r="A509" s="496"/>
      <c r="B509" s="761"/>
      <c r="C509" s="496"/>
      <c r="D509" s="510"/>
      <c r="E509" s="504"/>
      <c r="F509" s="532"/>
      <c r="G509" s="1065"/>
      <c r="H509" s="511"/>
      <c r="I509" s="511"/>
      <c r="J509" s="766"/>
      <c r="K509" s="495"/>
      <c r="L509" s="496"/>
      <c r="M509" s="782"/>
      <c r="N509" s="500" t="s">
        <v>413</v>
      </c>
      <c r="O509" s="788" t="s">
        <v>413</v>
      </c>
      <c r="P509" s="810"/>
      <c r="Q509" s="603"/>
      <c r="R509" s="605" t="s">
        <v>413</v>
      </c>
      <c r="S509" s="606"/>
      <c r="T509" s="1277" t="s">
        <v>413</v>
      </c>
      <c r="U509" s="604"/>
      <c r="V509" s="511"/>
      <c r="W509" s="511"/>
      <c r="X509" s="604"/>
      <c r="Y509" s="848" t="s">
        <v>413</v>
      </c>
      <c r="Z509" s="865"/>
      <c r="AA509" s="861"/>
      <c r="AB509" s="802"/>
      <c r="AC509" s="939" t="s">
        <v>413</v>
      </c>
      <c r="AD509" s="826" t="s">
        <v>413</v>
      </c>
      <c r="AE509" s="826"/>
      <c r="AF509" s="802"/>
    </row>
    <row r="510" spans="1:32" ht="14.25">
      <c r="A510" s="990">
        <v>7061</v>
      </c>
      <c r="B510" s="991" t="s">
        <v>1501</v>
      </c>
      <c r="C510" s="991" t="s">
        <v>705</v>
      </c>
      <c r="D510" s="1040"/>
      <c r="E510" s="1028">
        <v>9000</v>
      </c>
      <c r="F510" s="1041"/>
      <c r="G510" s="1067">
        <v>17</v>
      </c>
      <c r="H510" s="620"/>
      <c r="I510" s="620">
        <v>20</v>
      </c>
      <c r="J510" s="1043">
        <v>100</v>
      </c>
      <c r="K510" s="1032" t="s">
        <v>347</v>
      </c>
      <c r="L510" s="1251">
        <v>12</v>
      </c>
      <c r="M510" s="1252">
        <v>1400</v>
      </c>
      <c r="N510" s="1264">
        <v>0</v>
      </c>
      <c r="O510" s="815">
        <v>1</v>
      </c>
      <c r="P510" s="812"/>
      <c r="Q510" s="507"/>
      <c r="R510" s="201" t="s">
        <v>413</v>
      </c>
      <c r="S510" s="201"/>
      <c r="T510" s="1278">
        <v>903</v>
      </c>
      <c r="U510" s="511"/>
      <c r="V510" s="620">
        <v>6.428571428571429</v>
      </c>
      <c r="W510" s="613"/>
      <c r="X510" s="511"/>
      <c r="Y510" s="846">
        <v>6.428571428571429</v>
      </c>
      <c r="Z510" s="828"/>
      <c r="AA510" s="838">
        <v>17.004428571428573</v>
      </c>
      <c r="AB510" s="830"/>
      <c r="AC510" s="940">
        <v>18</v>
      </c>
      <c r="AD510" s="830" t="s">
        <v>484</v>
      </c>
      <c r="AE510" s="830">
        <v>0</v>
      </c>
      <c r="AF510" s="803">
        <v>7061</v>
      </c>
    </row>
    <row r="511" spans="1:32" ht="14.25">
      <c r="A511" s="154">
        <v>7062</v>
      </c>
      <c r="B511" s="992"/>
      <c r="C511" s="992" t="s">
        <v>706</v>
      </c>
      <c r="D511" s="510"/>
      <c r="E511" s="504">
        <v>6800</v>
      </c>
      <c r="F511" s="509"/>
      <c r="G511" s="1068">
        <v>11.5</v>
      </c>
      <c r="H511" s="511"/>
      <c r="I511" s="511">
        <v>13</v>
      </c>
      <c r="J511" s="766">
        <v>120</v>
      </c>
      <c r="K511" s="145" t="s">
        <v>347</v>
      </c>
      <c r="L511" s="492">
        <v>12</v>
      </c>
      <c r="M511" s="782">
        <v>1600</v>
      </c>
      <c r="N511" s="500">
        <v>0</v>
      </c>
      <c r="O511" s="788">
        <v>1.1</v>
      </c>
      <c r="P511" s="492"/>
      <c r="Q511" s="609">
        <v>0.25</v>
      </c>
      <c r="R511" s="610">
        <v>2629.8</v>
      </c>
      <c r="S511" s="610">
        <v>434</v>
      </c>
      <c r="T511" s="1277">
        <v>682.2666666666667</v>
      </c>
      <c r="U511" s="620">
        <v>36.68</v>
      </c>
      <c r="V511" s="511">
        <v>4.675000000000001</v>
      </c>
      <c r="W511" s="506"/>
      <c r="X511" s="620">
        <v>7</v>
      </c>
      <c r="Y511" s="848">
        <v>4.675000000000001</v>
      </c>
      <c r="Z511" s="831"/>
      <c r="AA511" s="861">
        <v>11.396611111111113</v>
      </c>
      <c r="AB511" s="895"/>
      <c r="AC511" s="939">
        <v>13.6</v>
      </c>
      <c r="AD511" s="826" t="s">
        <v>484</v>
      </c>
      <c r="AE511" s="826">
        <v>0</v>
      </c>
      <c r="AF511" s="804">
        <v>7062</v>
      </c>
    </row>
    <row r="512" spans="1:32" ht="14.25">
      <c r="A512" s="1008">
        <v>7063</v>
      </c>
      <c r="B512" s="991"/>
      <c r="C512" s="991" t="s">
        <v>707</v>
      </c>
      <c r="D512" s="1040"/>
      <c r="E512" s="1028">
        <v>5800</v>
      </c>
      <c r="F512" s="1041"/>
      <c r="G512" s="1067">
        <v>10</v>
      </c>
      <c r="H512" s="620"/>
      <c r="I512" s="620">
        <v>12</v>
      </c>
      <c r="J512" s="1043">
        <v>120</v>
      </c>
      <c r="K512" s="1032" t="s">
        <v>347</v>
      </c>
      <c r="L512" s="1251">
        <v>12</v>
      </c>
      <c r="M512" s="1252">
        <v>1600</v>
      </c>
      <c r="N512" s="1264">
        <v>0</v>
      </c>
      <c r="O512" s="815">
        <v>1.15</v>
      </c>
      <c r="P512" s="812"/>
      <c r="Q512" s="507">
        <v>0.25</v>
      </c>
      <c r="R512" s="201">
        <v>3214.2</v>
      </c>
      <c r="S512" s="201">
        <v>483</v>
      </c>
      <c r="T512" s="1278">
        <v>581.9333333333334</v>
      </c>
      <c r="U512" s="511">
        <v>39.612631578947365</v>
      </c>
      <c r="V512" s="620">
        <v>4.168749999999999</v>
      </c>
      <c r="W512" s="613"/>
      <c r="X512" s="511">
        <v>7</v>
      </c>
      <c r="Y512" s="846">
        <v>4.168749999999999</v>
      </c>
      <c r="Z512" s="828"/>
      <c r="AA512" s="838">
        <v>9.920013888888889</v>
      </c>
      <c r="AB512" s="830"/>
      <c r="AC512" s="940">
        <v>11.6</v>
      </c>
      <c r="AD512" s="830" t="s">
        <v>484</v>
      </c>
      <c r="AE512" s="830">
        <v>0</v>
      </c>
      <c r="AF512" s="807">
        <v>7063</v>
      </c>
    </row>
    <row r="513" spans="1:32" ht="14.25">
      <c r="A513" s="1014">
        <v>7064</v>
      </c>
      <c r="B513" s="992"/>
      <c r="C513" s="992" t="s">
        <v>1530</v>
      </c>
      <c r="D513" s="510"/>
      <c r="E513" s="504">
        <v>54000</v>
      </c>
      <c r="F513" s="509"/>
      <c r="G513" s="1068">
        <v>32</v>
      </c>
      <c r="H513" s="511">
        <v>26</v>
      </c>
      <c r="I513" s="511">
        <v>41</v>
      </c>
      <c r="J513" s="766">
        <v>200</v>
      </c>
      <c r="K513" s="145" t="s">
        <v>347</v>
      </c>
      <c r="L513" s="492">
        <v>12</v>
      </c>
      <c r="M513" s="782">
        <v>10000</v>
      </c>
      <c r="N513" s="500">
        <v>0.25</v>
      </c>
      <c r="O513" s="788">
        <v>0.75</v>
      </c>
      <c r="P513" s="492">
        <v>85</v>
      </c>
      <c r="Q513" s="609">
        <v>0.2</v>
      </c>
      <c r="R513" s="610">
        <v>4188.2</v>
      </c>
      <c r="S513" s="610">
        <v>532</v>
      </c>
      <c r="T513" s="1277">
        <v>4938</v>
      </c>
      <c r="U513" s="620">
        <v>45.77333333333333</v>
      </c>
      <c r="V513" s="511">
        <v>4.050000000000001</v>
      </c>
      <c r="W513" s="506"/>
      <c r="X513" s="620">
        <v>5.6000000000000005</v>
      </c>
      <c r="Y513" s="848">
        <v>4.050000000000001</v>
      </c>
      <c r="Z513" s="831">
        <v>0</v>
      </c>
      <c r="AA513" s="861">
        <v>31.614000000000004</v>
      </c>
      <c r="AB513" s="826"/>
      <c r="AC513" s="939">
        <v>108</v>
      </c>
      <c r="AD513" s="826" t="s">
        <v>484</v>
      </c>
      <c r="AE513" s="826">
        <v>0</v>
      </c>
      <c r="AF513" s="806">
        <v>7064</v>
      </c>
    </row>
    <row r="514" spans="1:32" ht="14.25">
      <c r="A514" s="496"/>
      <c r="B514" s="761"/>
      <c r="C514" s="496"/>
      <c r="D514" s="510"/>
      <c r="E514" s="504"/>
      <c r="F514" s="509"/>
      <c r="G514" s="1065"/>
      <c r="H514" s="511"/>
      <c r="I514" s="511"/>
      <c r="J514" s="766"/>
      <c r="K514" s="495"/>
      <c r="L514" s="496"/>
      <c r="M514" s="766"/>
      <c r="N514" s="500" t="s">
        <v>413</v>
      </c>
      <c r="O514" s="788" t="s">
        <v>413</v>
      </c>
      <c r="P514" s="810"/>
      <c r="Q514" s="507">
        <v>0.2</v>
      </c>
      <c r="R514" s="201">
        <v>4675.2</v>
      </c>
      <c r="S514" s="201">
        <v>560</v>
      </c>
      <c r="T514" s="1277" t="s">
        <v>413</v>
      </c>
      <c r="U514" s="511">
        <v>46.358260869565214</v>
      </c>
      <c r="V514" s="511"/>
      <c r="W514" s="506"/>
      <c r="X514" s="511">
        <v>5.6000000000000005</v>
      </c>
      <c r="Y514" s="848" t="s">
        <v>413</v>
      </c>
      <c r="Z514" s="831"/>
      <c r="AA514" s="861"/>
      <c r="AB514" s="802"/>
      <c r="AC514" s="939" t="s">
        <v>413</v>
      </c>
      <c r="AD514" s="826" t="s">
        <v>413</v>
      </c>
      <c r="AE514" s="826"/>
      <c r="AF514" s="802"/>
    </row>
    <row r="515" spans="1:32" ht="28.5">
      <c r="A515" s="997"/>
      <c r="B515" s="998"/>
      <c r="C515" s="999" t="s">
        <v>1011</v>
      </c>
      <c r="D515" s="1106"/>
      <c r="E515" s="1058"/>
      <c r="F515" s="1059"/>
      <c r="G515" s="1107"/>
      <c r="H515" s="1108"/>
      <c r="I515" s="1108"/>
      <c r="J515" s="1109"/>
      <c r="K515" s="1063"/>
      <c r="L515" s="1253"/>
      <c r="M515" s="1109"/>
      <c r="N515" s="1265" t="s">
        <v>413</v>
      </c>
      <c r="O515" s="817" t="s">
        <v>413</v>
      </c>
      <c r="P515" s="813"/>
      <c r="Q515" s="609">
        <v>0.2</v>
      </c>
      <c r="R515" s="610">
        <v>5649.2</v>
      </c>
      <c r="S515" s="610">
        <v>595</v>
      </c>
      <c r="T515" s="1280" t="s">
        <v>413</v>
      </c>
      <c r="U515" s="620">
        <v>45.43</v>
      </c>
      <c r="V515" s="1108"/>
      <c r="W515" s="1061"/>
      <c r="X515" s="620">
        <v>5.6000000000000005</v>
      </c>
      <c r="Y515" s="876" t="s">
        <v>413</v>
      </c>
      <c r="Z515" s="857"/>
      <c r="AA515" s="877"/>
      <c r="AB515" s="859"/>
      <c r="AC515" s="942" t="s">
        <v>413</v>
      </c>
      <c r="AD515" s="859" t="s">
        <v>413</v>
      </c>
      <c r="AE515" s="859"/>
      <c r="AF515" s="805"/>
    </row>
    <row r="516" spans="1:32" ht="14.25">
      <c r="A516" s="496"/>
      <c r="B516" s="761"/>
      <c r="C516" s="496"/>
      <c r="D516" s="510"/>
      <c r="E516" s="504"/>
      <c r="F516" s="509"/>
      <c r="G516" s="1065"/>
      <c r="H516" s="511"/>
      <c r="I516" s="511"/>
      <c r="J516" s="766"/>
      <c r="K516" s="495"/>
      <c r="L516" s="496"/>
      <c r="M516" s="766"/>
      <c r="N516" s="500" t="s">
        <v>413</v>
      </c>
      <c r="O516" s="788" t="s">
        <v>413</v>
      </c>
      <c r="P516" s="810"/>
      <c r="Q516" s="507"/>
      <c r="R516" s="201"/>
      <c r="S516" s="201"/>
      <c r="T516" s="1277" t="s">
        <v>413</v>
      </c>
      <c r="U516" s="511"/>
      <c r="V516" s="511"/>
      <c r="W516" s="506"/>
      <c r="X516" s="511"/>
      <c r="Y516" s="848" t="s">
        <v>413</v>
      </c>
      <c r="Z516" s="831"/>
      <c r="AA516" s="861"/>
      <c r="AB516" s="802"/>
      <c r="AC516" s="939" t="s">
        <v>413</v>
      </c>
      <c r="AD516" s="826" t="s">
        <v>413</v>
      </c>
      <c r="AE516" s="826"/>
      <c r="AF516" s="802"/>
    </row>
    <row r="517" spans="1:32" ht="14.25">
      <c r="A517" s="987">
        <v>8000</v>
      </c>
      <c r="B517" s="988"/>
      <c r="C517" s="989" t="s">
        <v>708</v>
      </c>
      <c r="D517" s="1021"/>
      <c r="E517" s="1022"/>
      <c r="F517" s="1023"/>
      <c r="G517" s="1024"/>
      <c r="H517" s="1025"/>
      <c r="I517" s="1025"/>
      <c r="J517" s="1026"/>
      <c r="K517" s="1026"/>
      <c r="L517" s="1021"/>
      <c r="M517" s="1026"/>
      <c r="N517" s="1263" t="s">
        <v>413</v>
      </c>
      <c r="O517" s="816" t="s">
        <v>413</v>
      </c>
      <c r="P517" s="809"/>
      <c r="Q517" s="603"/>
      <c r="R517" s="605" t="s">
        <v>413</v>
      </c>
      <c r="S517" s="606"/>
      <c r="T517" s="1276" t="s">
        <v>413</v>
      </c>
      <c r="U517" s="604"/>
      <c r="V517" s="1025"/>
      <c r="W517" s="1025"/>
      <c r="X517" s="604"/>
      <c r="Y517" s="874" t="s">
        <v>413</v>
      </c>
      <c r="Z517" s="820"/>
      <c r="AA517" s="821"/>
      <c r="AB517" s="822"/>
      <c r="AC517" s="938" t="s">
        <v>413</v>
      </c>
      <c r="AD517" s="822" t="s">
        <v>413</v>
      </c>
      <c r="AE517" s="822"/>
      <c r="AF517" s="801">
        <v>8000</v>
      </c>
    </row>
    <row r="518" spans="1:32" ht="14.25">
      <c r="A518" s="496"/>
      <c r="B518" s="761"/>
      <c r="C518" s="496"/>
      <c r="D518" s="510"/>
      <c r="E518" s="504"/>
      <c r="F518" s="509"/>
      <c r="G518" s="1065"/>
      <c r="H518" s="511"/>
      <c r="I518" s="511"/>
      <c r="J518" s="766"/>
      <c r="K518" s="495"/>
      <c r="L518" s="496"/>
      <c r="M518" s="766"/>
      <c r="N518" s="500" t="s">
        <v>413</v>
      </c>
      <c r="O518" s="788" t="s">
        <v>413</v>
      </c>
      <c r="P518" s="810"/>
      <c r="Q518" s="507"/>
      <c r="R518" s="201" t="s">
        <v>413</v>
      </c>
      <c r="S518" s="201"/>
      <c r="T518" s="1277" t="s">
        <v>413</v>
      </c>
      <c r="U518" s="511"/>
      <c r="V518" s="511"/>
      <c r="W518" s="506"/>
      <c r="X518" s="511"/>
      <c r="Y518" s="848" t="s">
        <v>413</v>
      </c>
      <c r="Z518" s="831"/>
      <c r="AA518" s="861"/>
      <c r="AB518" s="802"/>
      <c r="AC518" s="939" t="s">
        <v>413</v>
      </c>
      <c r="AD518" s="826" t="s">
        <v>413</v>
      </c>
      <c r="AE518" s="826"/>
      <c r="AF518" s="802"/>
    </row>
    <row r="519" spans="1:32" ht="14.25">
      <c r="A519" s="990">
        <v>8001</v>
      </c>
      <c r="B519" s="991"/>
      <c r="C519" s="991" t="s">
        <v>1012</v>
      </c>
      <c r="D519" s="1040">
        <v>73</v>
      </c>
      <c r="E519" s="1028">
        <v>14000</v>
      </c>
      <c r="F519" s="1041">
        <v>110</v>
      </c>
      <c r="G519" s="1067">
        <v>150</v>
      </c>
      <c r="H519" s="1111">
        <v>130</v>
      </c>
      <c r="I519" s="620">
        <v>190</v>
      </c>
      <c r="J519" s="1043">
        <v>12</v>
      </c>
      <c r="K519" s="1032" t="s">
        <v>347</v>
      </c>
      <c r="L519" s="1251">
        <v>15</v>
      </c>
      <c r="M519" s="1043">
        <v>250</v>
      </c>
      <c r="N519" s="1264">
        <v>0.1</v>
      </c>
      <c r="O519" s="815">
        <v>0.65</v>
      </c>
      <c r="P519" s="812">
        <v>19</v>
      </c>
      <c r="Q519" s="609">
        <v>0.5</v>
      </c>
      <c r="R519" s="610">
        <v>11103.6</v>
      </c>
      <c r="S519" s="610">
        <v>840</v>
      </c>
      <c r="T519" s="1278">
        <v>1206</v>
      </c>
      <c r="U519" s="620">
        <v>211.19333333333333</v>
      </c>
      <c r="V519" s="620">
        <v>36.4</v>
      </c>
      <c r="W519" s="613"/>
      <c r="X519" s="620">
        <v>14</v>
      </c>
      <c r="Y519" s="846">
        <v>36.4</v>
      </c>
      <c r="Z519" s="828">
        <v>109.93070000000002</v>
      </c>
      <c r="AA519" s="838">
        <v>150.59000000000003</v>
      </c>
      <c r="AB519" s="830"/>
      <c r="AC519" s="940">
        <v>28</v>
      </c>
      <c r="AD519" s="830" t="s">
        <v>484</v>
      </c>
      <c r="AE519" s="830">
        <v>0</v>
      </c>
      <c r="AF519" s="803">
        <v>8001</v>
      </c>
    </row>
    <row r="520" spans="1:32" ht="14.25">
      <c r="A520" s="154">
        <v>8002</v>
      </c>
      <c r="B520" s="992"/>
      <c r="C520" s="992" t="s">
        <v>1013</v>
      </c>
      <c r="D520" s="510">
        <v>119</v>
      </c>
      <c r="E520" s="504">
        <v>18000</v>
      </c>
      <c r="F520" s="509">
        <v>150</v>
      </c>
      <c r="G520" s="1068">
        <v>130</v>
      </c>
      <c r="H520" s="511">
        <v>110</v>
      </c>
      <c r="I520" s="511">
        <v>160</v>
      </c>
      <c r="J520" s="766">
        <v>20</v>
      </c>
      <c r="K520" s="145" t="s">
        <v>347</v>
      </c>
      <c r="L520" s="492">
        <v>15</v>
      </c>
      <c r="M520" s="766">
        <v>400</v>
      </c>
      <c r="N520" s="500">
        <v>0.1</v>
      </c>
      <c r="O520" s="788">
        <v>0.9</v>
      </c>
      <c r="P520" s="492">
        <v>30</v>
      </c>
      <c r="Q520" s="507">
        <v>0.5</v>
      </c>
      <c r="R520" s="201">
        <v>16558</v>
      </c>
      <c r="S520" s="201">
        <v>1358</v>
      </c>
      <c r="T520" s="1277">
        <v>1584</v>
      </c>
      <c r="U520" s="511">
        <v>234.45</v>
      </c>
      <c r="V520" s="511">
        <v>40.5</v>
      </c>
      <c r="W520" s="506"/>
      <c r="X520" s="511">
        <v>14</v>
      </c>
      <c r="Y520" s="848">
        <v>40.5</v>
      </c>
      <c r="Z520" s="831">
        <v>156.68730000000002</v>
      </c>
      <c r="AA520" s="861">
        <v>131.67000000000002</v>
      </c>
      <c r="AB520" s="826"/>
      <c r="AC520" s="939">
        <v>36</v>
      </c>
      <c r="AD520" s="826" t="s">
        <v>484</v>
      </c>
      <c r="AE520" s="826">
        <v>0</v>
      </c>
      <c r="AF520" s="804">
        <v>8002</v>
      </c>
    </row>
    <row r="521" spans="1:32" ht="14.25">
      <c r="A521" s="990">
        <v>8003</v>
      </c>
      <c r="B521" s="991" t="s">
        <v>1501</v>
      </c>
      <c r="C521" s="991" t="s">
        <v>1014</v>
      </c>
      <c r="D521" s="1040">
        <v>40</v>
      </c>
      <c r="E521" s="1028">
        <v>25000</v>
      </c>
      <c r="F521" s="1041">
        <v>210</v>
      </c>
      <c r="G521" s="1067">
        <v>520</v>
      </c>
      <c r="H521" s="620">
        <v>510</v>
      </c>
      <c r="I521" s="620">
        <v>550</v>
      </c>
      <c r="J521" s="1043">
        <v>30</v>
      </c>
      <c r="K521" s="1032" t="s">
        <v>347</v>
      </c>
      <c r="L521" s="1251">
        <v>15</v>
      </c>
      <c r="M521" s="1252">
        <v>4000</v>
      </c>
      <c r="N521" s="1264">
        <v>0.25</v>
      </c>
      <c r="O521" s="815">
        <v>1</v>
      </c>
      <c r="P521" s="812">
        <v>22</v>
      </c>
      <c r="Q521" s="609">
        <v>0.5</v>
      </c>
      <c r="R521" s="610">
        <v>17726.8</v>
      </c>
      <c r="S521" s="610">
        <v>1358</v>
      </c>
      <c r="T521" s="1278">
        <v>1869.5</v>
      </c>
      <c r="U521" s="620">
        <v>249.35999999999999</v>
      </c>
      <c r="V521" s="620">
        <v>6.25</v>
      </c>
      <c r="W521" s="620">
        <v>408.5714285714286</v>
      </c>
      <c r="X521" s="620">
        <v>14</v>
      </c>
      <c r="Y521" s="846">
        <v>414.8214285714286</v>
      </c>
      <c r="Z521" s="828">
        <v>209.94076190476193</v>
      </c>
      <c r="AA521" s="838">
        <v>524.8519047619048</v>
      </c>
      <c r="AB521" s="830"/>
      <c r="AC521" s="940">
        <v>50</v>
      </c>
      <c r="AD521" s="830" t="s">
        <v>484</v>
      </c>
      <c r="AE521" s="830">
        <v>4</v>
      </c>
      <c r="AF521" s="803">
        <v>8003</v>
      </c>
    </row>
    <row r="522" spans="1:32" ht="14.25">
      <c r="A522" s="154"/>
      <c r="B522" s="992"/>
      <c r="C522" s="992"/>
      <c r="D522" s="510"/>
      <c r="E522" s="504"/>
      <c r="F522" s="509"/>
      <c r="G522" s="1142"/>
      <c r="H522" s="511"/>
      <c r="I522" s="511"/>
      <c r="J522" s="766"/>
      <c r="L522" s="492"/>
      <c r="M522" s="782"/>
      <c r="N522" s="500" t="s">
        <v>413</v>
      </c>
      <c r="O522" s="788" t="s">
        <v>413</v>
      </c>
      <c r="P522" s="492"/>
      <c r="Q522" s="507">
        <v>0.0666</v>
      </c>
      <c r="R522" s="201">
        <v>5203</v>
      </c>
      <c r="S522" s="201">
        <v>308</v>
      </c>
      <c r="T522" s="1277" t="s">
        <v>413</v>
      </c>
      <c r="U522" s="511">
        <v>79.95714285714286</v>
      </c>
      <c r="V522" s="511"/>
      <c r="W522" s="506"/>
      <c r="X522" s="511">
        <v>1.8648000000000002</v>
      </c>
      <c r="Y522" s="848" t="s">
        <v>413</v>
      </c>
      <c r="Z522" s="831"/>
      <c r="AA522" s="896"/>
      <c r="AB522" s="826"/>
      <c r="AC522" s="939" t="s">
        <v>413</v>
      </c>
      <c r="AD522" s="826" t="s">
        <v>413</v>
      </c>
      <c r="AE522" s="826"/>
      <c r="AF522" s="804"/>
    </row>
    <row r="523" spans="1:32" ht="14.25">
      <c r="A523" s="987">
        <v>8010</v>
      </c>
      <c r="B523" s="988"/>
      <c r="C523" s="989" t="s">
        <v>709</v>
      </c>
      <c r="D523" s="1021"/>
      <c r="E523" s="1022"/>
      <c r="F523" s="1023"/>
      <c r="G523" s="1024"/>
      <c r="H523" s="1025"/>
      <c r="I523" s="1025"/>
      <c r="J523" s="1026"/>
      <c r="K523" s="1026"/>
      <c r="L523" s="1021"/>
      <c r="M523" s="1026"/>
      <c r="N523" s="1263" t="s">
        <v>413</v>
      </c>
      <c r="O523" s="816" t="s">
        <v>413</v>
      </c>
      <c r="P523" s="809"/>
      <c r="Q523" s="609">
        <v>0.0666</v>
      </c>
      <c r="R523" s="610">
        <v>6050</v>
      </c>
      <c r="S523" s="610">
        <v>308</v>
      </c>
      <c r="T523" s="1276" t="s">
        <v>413</v>
      </c>
      <c r="U523" s="620">
        <v>92.25714285714285</v>
      </c>
      <c r="V523" s="1025"/>
      <c r="W523" s="1025"/>
      <c r="X523" s="620">
        <v>1.8648000000000002</v>
      </c>
      <c r="Y523" s="874" t="s">
        <v>413</v>
      </c>
      <c r="Z523" s="820"/>
      <c r="AA523" s="821"/>
      <c r="AB523" s="822"/>
      <c r="AC523" s="938" t="s">
        <v>413</v>
      </c>
      <c r="AD523" s="822" t="s">
        <v>413</v>
      </c>
      <c r="AE523" s="822"/>
      <c r="AF523" s="801">
        <v>8010</v>
      </c>
    </row>
    <row r="524" spans="1:32" ht="14.25">
      <c r="A524" s="496"/>
      <c r="B524" s="761"/>
      <c r="C524" s="496"/>
      <c r="D524" s="510"/>
      <c r="E524" s="504"/>
      <c r="F524" s="509"/>
      <c r="G524" s="1142"/>
      <c r="H524" s="511"/>
      <c r="I524" s="511"/>
      <c r="J524" s="766"/>
      <c r="K524" s="495"/>
      <c r="L524" s="496"/>
      <c r="M524" s="782"/>
      <c r="N524" s="500" t="s">
        <v>413</v>
      </c>
      <c r="O524" s="788" t="s">
        <v>413</v>
      </c>
      <c r="P524" s="810"/>
      <c r="Q524" s="507">
        <v>0.05</v>
      </c>
      <c r="R524" s="201">
        <v>8767.2</v>
      </c>
      <c r="S524" s="201">
        <v>343</v>
      </c>
      <c r="T524" s="1277" t="s">
        <v>413</v>
      </c>
      <c r="U524" s="511">
        <v>92.662</v>
      </c>
      <c r="V524" s="511"/>
      <c r="W524" s="506"/>
      <c r="X524" s="511">
        <v>1.4000000000000001</v>
      </c>
      <c r="Y524" s="848" t="s">
        <v>413</v>
      </c>
      <c r="Z524" s="831"/>
      <c r="AA524" s="861"/>
      <c r="AB524" s="802"/>
      <c r="AC524" s="939" t="s">
        <v>413</v>
      </c>
      <c r="AD524" s="826" t="s">
        <v>413</v>
      </c>
      <c r="AE524" s="826"/>
      <c r="AF524" s="802"/>
    </row>
    <row r="525" spans="1:32" ht="28.5">
      <c r="A525" s="154">
        <v>8012</v>
      </c>
      <c r="B525" s="992"/>
      <c r="C525" s="992" t="s">
        <v>710</v>
      </c>
      <c r="D525" s="510">
        <v>7</v>
      </c>
      <c r="E525" s="504">
        <v>84000</v>
      </c>
      <c r="F525" s="509">
        <v>84</v>
      </c>
      <c r="G525" s="1068">
        <v>1200</v>
      </c>
      <c r="H525" s="511">
        <v>1000</v>
      </c>
      <c r="I525" s="511">
        <v>1400</v>
      </c>
      <c r="J525" s="766">
        <v>10</v>
      </c>
      <c r="K525" s="145" t="s">
        <v>347</v>
      </c>
      <c r="L525" s="492">
        <v>12</v>
      </c>
      <c r="M525" s="766">
        <v>220</v>
      </c>
      <c r="N525" s="500">
        <v>0.25</v>
      </c>
      <c r="O525" s="788">
        <v>0.85</v>
      </c>
      <c r="P525" s="492">
        <v>78</v>
      </c>
      <c r="Q525" s="609">
        <v>0.0333</v>
      </c>
      <c r="R525" s="610">
        <v>12342</v>
      </c>
      <c r="S525" s="610">
        <v>343</v>
      </c>
      <c r="T525" s="1277">
        <v>7356</v>
      </c>
      <c r="U525" s="620">
        <v>99.14615384615385</v>
      </c>
      <c r="V525" s="511">
        <v>324.54545454545456</v>
      </c>
      <c r="W525" s="506"/>
      <c r="X525" s="620">
        <v>0.9324000000000001</v>
      </c>
      <c r="Y525" s="848">
        <v>324.54545454545456</v>
      </c>
      <c r="Z525" s="831">
        <v>81.63120000000002</v>
      </c>
      <c r="AA525" s="861">
        <v>1166.1600000000003</v>
      </c>
      <c r="AB525" s="826"/>
      <c r="AC525" s="939">
        <v>168</v>
      </c>
      <c r="AD525" s="826" t="s">
        <v>484</v>
      </c>
      <c r="AE525" s="826">
        <v>0</v>
      </c>
      <c r="AF525" s="804">
        <v>8012</v>
      </c>
    </row>
    <row r="526" spans="1:32" ht="28.5">
      <c r="A526" s="990">
        <v>8013</v>
      </c>
      <c r="B526" s="991" t="s">
        <v>1501</v>
      </c>
      <c r="C526" s="991" t="s">
        <v>711</v>
      </c>
      <c r="D526" s="1040">
        <v>8</v>
      </c>
      <c r="E526" s="1028">
        <v>112000</v>
      </c>
      <c r="F526" s="1041">
        <v>104</v>
      </c>
      <c r="G526" s="1067">
        <v>1300</v>
      </c>
      <c r="H526" s="620">
        <v>1130</v>
      </c>
      <c r="I526" s="620">
        <v>1600</v>
      </c>
      <c r="J526" s="1043">
        <v>12</v>
      </c>
      <c r="K526" s="1032" t="s">
        <v>347</v>
      </c>
      <c r="L526" s="1251">
        <v>12</v>
      </c>
      <c r="M526" s="1043">
        <v>250</v>
      </c>
      <c r="N526" s="1264">
        <v>0.25</v>
      </c>
      <c r="O526" s="815">
        <v>0.85</v>
      </c>
      <c r="P526" s="812">
        <v>87</v>
      </c>
      <c r="Q526" s="507">
        <v>0.0666</v>
      </c>
      <c r="R526" s="201">
        <v>1691.5</v>
      </c>
      <c r="S526" s="201">
        <v>343</v>
      </c>
      <c r="T526" s="1278">
        <v>9706</v>
      </c>
      <c r="U526" s="511">
        <v>68.95</v>
      </c>
      <c r="V526" s="620">
        <v>380.8</v>
      </c>
      <c r="W526" s="613"/>
      <c r="X526" s="511">
        <v>1.8648000000000002</v>
      </c>
      <c r="Y526" s="846">
        <v>380.8</v>
      </c>
      <c r="Z526" s="828">
        <v>104.68773333333334</v>
      </c>
      <c r="AA526" s="838">
        <v>1308.5966666666668</v>
      </c>
      <c r="AB526" s="830"/>
      <c r="AC526" s="940">
        <v>224</v>
      </c>
      <c r="AD526" s="830" t="s">
        <v>484</v>
      </c>
      <c r="AE526" s="830">
        <v>0</v>
      </c>
      <c r="AF526" s="803">
        <v>8013</v>
      </c>
    </row>
    <row r="527" spans="1:32" ht="28.5">
      <c r="A527" s="154">
        <v>8014</v>
      </c>
      <c r="B527" s="992"/>
      <c r="C527" s="992" t="s">
        <v>712</v>
      </c>
      <c r="D527" s="510">
        <v>8</v>
      </c>
      <c r="E527" s="504">
        <v>134000</v>
      </c>
      <c r="F527" s="509">
        <v>128</v>
      </c>
      <c r="G527" s="1068">
        <v>1600</v>
      </c>
      <c r="H527" s="511">
        <v>1300</v>
      </c>
      <c r="I527" s="511">
        <v>1910</v>
      </c>
      <c r="J527" s="766">
        <v>12</v>
      </c>
      <c r="K527" s="145" t="s">
        <v>347</v>
      </c>
      <c r="L527" s="492">
        <v>12</v>
      </c>
      <c r="M527" s="766">
        <v>250</v>
      </c>
      <c r="N527" s="500">
        <v>0.25</v>
      </c>
      <c r="O527" s="788">
        <v>0.85</v>
      </c>
      <c r="P527" s="492">
        <v>87</v>
      </c>
      <c r="Q527" s="609">
        <v>0.0666</v>
      </c>
      <c r="R527" s="610">
        <v>995</v>
      </c>
      <c r="S527" s="610">
        <v>343</v>
      </c>
      <c r="T527" s="1277">
        <v>11510</v>
      </c>
      <c r="U527" s="620">
        <v>45.266666666666666</v>
      </c>
      <c r="V527" s="511">
        <v>455.59999999999997</v>
      </c>
      <c r="W527" s="506"/>
      <c r="X527" s="620">
        <v>1.8648000000000002</v>
      </c>
      <c r="Y527" s="848">
        <v>455.59999999999997</v>
      </c>
      <c r="Z527" s="831">
        <v>124.49946666666666</v>
      </c>
      <c r="AA527" s="861">
        <v>1556.2433333333333</v>
      </c>
      <c r="AB527" s="826"/>
      <c r="AC527" s="939">
        <v>268</v>
      </c>
      <c r="AD527" s="826" t="s">
        <v>484</v>
      </c>
      <c r="AE527" s="826">
        <v>0</v>
      </c>
      <c r="AF527" s="804">
        <v>8014</v>
      </c>
    </row>
    <row r="528" spans="1:32" ht="28.5">
      <c r="A528" s="990">
        <v>8015</v>
      </c>
      <c r="B528" s="991"/>
      <c r="C528" s="991" t="s">
        <v>713</v>
      </c>
      <c r="D528" s="1040">
        <v>15</v>
      </c>
      <c r="E528" s="1028">
        <v>194000</v>
      </c>
      <c r="F528" s="1041">
        <v>210</v>
      </c>
      <c r="G528" s="1067">
        <v>1400</v>
      </c>
      <c r="H528" s="620">
        <v>1200</v>
      </c>
      <c r="I528" s="620">
        <v>1700</v>
      </c>
      <c r="J528" s="1043">
        <v>20</v>
      </c>
      <c r="K528" s="1032" t="s">
        <v>347</v>
      </c>
      <c r="L528" s="1251">
        <v>12</v>
      </c>
      <c r="M528" s="1043">
        <v>500</v>
      </c>
      <c r="N528" s="1264">
        <v>0.25</v>
      </c>
      <c r="O528" s="815">
        <v>1.05</v>
      </c>
      <c r="P528" s="812">
        <v>125</v>
      </c>
      <c r="Q528" s="533"/>
      <c r="R528" s="201" t="s">
        <v>413</v>
      </c>
      <c r="S528" s="201"/>
      <c r="T528" s="1278">
        <v>16658</v>
      </c>
      <c r="U528" s="511"/>
      <c r="V528" s="620">
        <v>407.40000000000003</v>
      </c>
      <c r="W528" s="613"/>
      <c r="X528" s="511"/>
      <c r="Y528" s="846">
        <v>407.40000000000003</v>
      </c>
      <c r="Z528" s="828">
        <v>204.64950000000002</v>
      </c>
      <c r="AA528" s="838">
        <v>1364.3300000000002</v>
      </c>
      <c r="AB528" s="830"/>
      <c r="AC528" s="940">
        <v>388</v>
      </c>
      <c r="AD528" s="830" t="s">
        <v>484</v>
      </c>
      <c r="AE528" s="830">
        <v>0</v>
      </c>
      <c r="AF528" s="803">
        <v>8015</v>
      </c>
    </row>
    <row r="529" spans="1:32" ht="14.25">
      <c r="A529" s="496"/>
      <c r="B529" s="761"/>
      <c r="C529" s="496"/>
      <c r="D529" s="510"/>
      <c r="E529" s="504"/>
      <c r="F529" s="509"/>
      <c r="G529" s="1143"/>
      <c r="H529" s="511"/>
      <c r="I529" s="511"/>
      <c r="J529" s="766"/>
      <c r="K529" s="495"/>
      <c r="L529" s="496"/>
      <c r="M529" s="766"/>
      <c r="N529" s="500" t="s">
        <v>413</v>
      </c>
      <c r="O529" s="788" t="s">
        <v>413</v>
      </c>
      <c r="P529" s="810"/>
      <c r="Q529" s="603"/>
      <c r="R529" s="605" t="s">
        <v>413</v>
      </c>
      <c r="S529" s="606"/>
      <c r="T529" s="1277" t="s">
        <v>413</v>
      </c>
      <c r="U529" s="604"/>
      <c r="V529" s="511"/>
      <c r="W529" s="506"/>
      <c r="X529" s="604"/>
      <c r="Y529" s="823" t="s">
        <v>413</v>
      </c>
      <c r="Z529" s="831"/>
      <c r="AA529" s="861"/>
      <c r="AB529" s="802"/>
      <c r="AC529" s="939" t="s">
        <v>413</v>
      </c>
      <c r="AD529" s="826" t="s">
        <v>413</v>
      </c>
      <c r="AE529" s="826"/>
      <c r="AF529" s="802"/>
    </row>
    <row r="530" spans="1:32" ht="14.25">
      <c r="A530" s="987">
        <v>8030</v>
      </c>
      <c r="B530" s="988"/>
      <c r="C530" s="989" t="s">
        <v>714</v>
      </c>
      <c r="D530" s="1021"/>
      <c r="E530" s="1022"/>
      <c r="F530" s="1023"/>
      <c r="G530" s="1024"/>
      <c r="H530" s="1025"/>
      <c r="I530" s="1025"/>
      <c r="J530" s="1026"/>
      <c r="K530" s="1026"/>
      <c r="L530" s="1021"/>
      <c r="M530" s="1026"/>
      <c r="N530" s="1263" t="s">
        <v>413</v>
      </c>
      <c r="O530" s="816" t="s">
        <v>413</v>
      </c>
      <c r="P530" s="809"/>
      <c r="Q530" s="507"/>
      <c r="R530" s="201" t="s">
        <v>413</v>
      </c>
      <c r="S530" s="201"/>
      <c r="T530" s="1276" t="s">
        <v>413</v>
      </c>
      <c r="U530" s="511"/>
      <c r="V530" s="1025"/>
      <c r="W530" s="1025"/>
      <c r="X530" s="511"/>
      <c r="Y530" s="833" t="s">
        <v>413</v>
      </c>
      <c r="Z530" s="820"/>
      <c r="AA530" s="821"/>
      <c r="AB530" s="822"/>
      <c r="AC530" s="938" t="s">
        <v>413</v>
      </c>
      <c r="AD530" s="822" t="s">
        <v>413</v>
      </c>
      <c r="AE530" s="822"/>
      <c r="AF530" s="801">
        <v>8030</v>
      </c>
    </row>
    <row r="531" spans="1:32" ht="14.25">
      <c r="A531" s="496"/>
      <c r="B531" s="761"/>
      <c r="C531" s="496"/>
      <c r="D531" s="510"/>
      <c r="E531" s="504"/>
      <c r="F531" s="509"/>
      <c r="G531" s="1065"/>
      <c r="H531" s="511"/>
      <c r="I531" s="511"/>
      <c r="J531" s="766"/>
      <c r="K531" s="495"/>
      <c r="L531" s="496"/>
      <c r="M531" s="766"/>
      <c r="N531" s="500" t="s">
        <v>413</v>
      </c>
      <c r="O531" s="788" t="s">
        <v>413</v>
      </c>
      <c r="P531" s="810"/>
      <c r="Q531" s="609">
        <v>0.05</v>
      </c>
      <c r="R531" s="610">
        <v>1095.5</v>
      </c>
      <c r="S531" s="610"/>
      <c r="T531" s="1277" t="s">
        <v>413</v>
      </c>
      <c r="U531" s="620">
        <v>11.165</v>
      </c>
      <c r="V531" s="511"/>
      <c r="W531" s="506"/>
      <c r="X531" s="620">
        <v>1.4000000000000001</v>
      </c>
      <c r="Y531" s="823" t="s">
        <v>413</v>
      </c>
      <c r="Z531" s="831"/>
      <c r="AA531" s="861"/>
      <c r="AB531" s="802"/>
      <c r="AC531" s="939" t="s">
        <v>413</v>
      </c>
      <c r="AD531" s="826" t="s">
        <v>413</v>
      </c>
      <c r="AE531" s="826"/>
      <c r="AF531" s="802"/>
    </row>
    <row r="532" spans="1:32" ht="14.25">
      <c r="A532" s="990">
        <v>8031</v>
      </c>
      <c r="B532" s="991"/>
      <c r="C532" s="991" t="s">
        <v>480</v>
      </c>
      <c r="D532" s="1144"/>
      <c r="E532" s="1028">
        <v>96.4568</v>
      </c>
      <c r="F532" s="1041"/>
      <c r="G532" s="1145">
        <v>17.5</v>
      </c>
      <c r="H532" s="632"/>
      <c r="I532" s="632"/>
      <c r="J532" s="1146"/>
      <c r="K532" s="1032" t="s">
        <v>347</v>
      </c>
      <c r="L532" s="1251">
        <v>6</v>
      </c>
      <c r="M532" s="1147"/>
      <c r="N532" s="1264">
        <v>0</v>
      </c>
      <c r="O532" s="1271" t="s">
        <v>413</v>
      </c>
      <c r="P532" s="1272"/>
      <c r="Q532" s="507">
        <v>0.05</v>
      </c>
      <c r="R532" s="201">
        <v>709.4666666666666</v>
      </c>
      <c r="S532" s="201"/>
      <c r="T532" s="1278">
        <v>17.522985333333335</v>
      </c>
      <c r="U532" s="511">
        <v>6.025555555555555</v>
      </c>
      <c r="V532" s="632"/>
      <c r="W532" s="613"/>
      <c r="X532" s="511">
        <v>1.4000000000000001</v>
      </c>
      <c r="Y532" s="827"/>
      <c r="Z532" s="828"/>
      <c r="AA532" s="968">
        <v>17.68374666666667</v>
      </c>
      <c r="AB532" s="830"/>
      <c r="AC532" s="940">
        <v>0</v>
      </c>
      <c r="AD532" s="830">
        <v>0</v>
      </c>
      <c r="AE532" s="830">
        <v>0</v>
      </c>
      <c r="AF532" s="803">
        <v>8031</v>
      </c>
    </row>
    <row r="533" spans="1:32" ht="14.25">
      <c r="A533" s="154">
        <v>8032</v>
      </c>
      <c r="B533" s="992"/>
      <c r="C533" s="992" t="s">
        <v>715</v>
      </c>
      <c r="D533" s="524">
        <v>2</v>
      </c>
      <c r="E533" s="504">
        <v>5800</v>
      </c>
      <c r="F533" s="509">
        <v>5.4</v>
      </c>
      <c r="G533" s="1084">
        <v>2.7</v>
      </c>
      <c r="H533" s="518">
        <v>2.4</v>
      </c>
      <c r="I533" s="518">
        <v>3.2</v>
      </c>
      <c r="J533" s="768">
        <v>400</v>
      </c>
      <c r="K533" s="145" t="s">
        <v>347</v>
      </c>
      <c r="L533" s="492">
        <v>12</v>
      </c>
      <c r="M533" s="769">
        <v>7000</v>
      </c>
      <c r="N533" s="500">
        <v>0.1</v>
      </c>
      <c r="O533" s="788">
        <v>1.15</v>
      </c>
      <c r="P533" s="492">
        <v>10</v>
      </c>
      <c r="Q533" s="609">
        <v>0.05</v>
      </c>
      <c r="R533" s="610">
        <v>615.5666666666667</v>
      </c>
      <c r="S533" s="610"/>
      <c r="T533" s="1277">
        <v>599.4</v>
      </c>
      <c r="U533" s="620">
        <v>5.228055555555556</v>
      </c>
      <c r="V533" s="518">
        <v>0.9528571428571428</v>
      </c>
      <c r="W533" s="506"/>
      <c r="X533" s="620">
        <v>1.4000000000000001</v>
      </c>
      <c r="Y533" s="863">
        <v>0.9528571428571428</v>
      </c>
      <c r="Z533" s="831">
        <v>5.3929857142857145</v>
      </c>
      <c r="AA533" s="868">
        <v>2.6964928571428572</v>
      </c>
      <c r="AB533" s="826"/>
      <c r="AC533" s="939">
        <v>11.6</v>
      </c>
      <c r="AD533" s="826" t="s">
        <v>899</v>
      </c>
      <c r="AE533" s="826">
        <v>0</v>
      </c>
      <c r="AF533" s="804">
        <v>8032</v>
      </c>
    </row>
    <row r="534" spans="1:32" ht="14.25">
      <c r="A534" s="990">
        <v>8033</v>
      </c>
      <c r="B534" s="991"/>
      <c r="C534" s="991" t="s">
        <v>716</v>
      </c>
      <c r="D534" s="1144">
        <v>2</v>
      </c>
      <c r="E534" s="1028">
        <v>9500</v>
      </c>
      <c r="F534" s="1041">
        <v>8.2</v>
      </c>
      <c r="G534" s="1088">
        <v>4.1</v>
      </c>
      <c r="H534" s="632">
        <v>3.5</v>
      </c>
      <c r="I534" s="632">
        <v>5</v>
      </c>
      <c r="J534" s="1147">
        <v>400</v>
      </c>
      <c r="K534" s="1032" t="s">
        <v>347</v>
      </c>
      <c r="L534" s="1251">
        <v>12</v>
      </c>
      <c r="M534" s="1089">
        <v>7000</v>
      </c>
      <c r="N534" s="1264">
        <v>0.1</v>
      </c>
      <c r="O534" s="815">
        <v>0.9</v>
      </c>
      <c r="P534" s="812">
        <v>17</v>
      </c>
      <c r="Q534" s="507">
        <v>0.025</v>
      </c>
      <c r="R534" s="201">
        <v>5046</v>
      </c>
      <c r="S534" s="201">
        <v>644</v>
      </c>
      <c r="T534" s="1278">
        <v>985.5</v>
      </c>
      <c r="U534" s="511">
        <v>30.557894736842105</v>
      </c>
      <c r="V534" s="632">
        <v>1.2214285714285715</v>
      </c>
      <c r="W534" s="613"/>
      <c r="X534" s="511">
        <v>0.7000000000000001</v>
      </c>
      <c r="Y534" s="862">
        <v>1.2214285714285715</v>
      </c>
      <c r="Z534" s="828">
        <v>8.107392857142859</v>
      </c>
      <c r="AA534" s="867">
        <v>4.053696428571429</v>
      </c>
      <c r="AB534" s="830"/>
      <c r="AC534" s="940">
        <v>19</v>
      </c>
      <c r="AD534" s="830" t="s">
        <v>899</v>
      </c>
      <c r="AE534" s="830">
        <v>0</v>
      </c>
      <c r="AF534" s="803">
        <v>8033</v>
      </c>
    </row>
    <row r="535" spans="1:32" ht="14.25">
      <c r="A535" s="154">
        <v>8034</v>
      </c>
      <c r="B535" s="992"/>
      <c r="C535" s="992" t="s">
        <v>717</v>
      </c>
      <c r="D535" s="524">
        <v>2</v>
      </c>
      <c r="E535" s="504">
        <v>20000</v>
      </c>
      <c r="F535" s="509">
        <v>16</v>
      </c>
      <c r="G535" s="1084">
        <v>8.1</v>
      </c>
      <c r="H535" s="518">
        <v>7</v>
      </c>
      <c r="I535" s="518">
        <v>9.9</v>
      </c>
      <c r="J535" s="768">
        <v>400</v>
      </c>
      <c r="K535" s="145" t="s">
        <v>347</v>
      </c>
      <c r="L535" s="492">
        <v>12</v>
      </c>
      <c r="M535" s="769">
        <v>7000</v>
      </c>
      <c r="N535" s="500">
        <v>0.1</v>
      </c>
      <c r="O535" s="788">
        <v>0.8</v>
      </c>
      <c r="P535" s="492">
        <v>27</v>
      </c>
      <c r="Q535" s="609">
        <v>0.1</v>
      </c>
      <c r="R535" s="610">
        <v>1042.18</v>
      </c>
      <c r="S535" s="610">
        <v>133</v>
      </c>
      <c r="T535" s="1277">
        <v>2022</v>
      </c>
      <c r="U535" s="620">
        <v>29.914500000000004</v>
      </c>
      <c r="V535" s="518">
        <v>2.285714285714286</v>
      </c>
      <c r="W535" s="506"/>
      <c r="X535" s="620">
        <v>2.8000000000000003</v>
      </c>
      <c r="Y535" s="863">
        <v>2.285714285714286</v>
      </c>
      <c r="Z535" s="831">
        <v>16.14957142857143</v>
      </c>
      <c r="AA535" s="868">
        <v>8.074785714285715</v>
      </c>
      <c r="AB535" s="826"/>
      <c r="AC535" s="939">
        <v>40</v>
      </c>
      <c r="AD535" s="826" t="s">
        <v>899</v>
      </c>
      <c r="AE535" s="826">
        <v>0</v>
      </c>
      <c r="AF535" s="804">
        <v>8034</v>
      </c>
    </row>
    <row r="536" spans="1:32" ht="14.25">
      <c r="A536" s="990">
        <v>8035</v>
      </c>
      <c r="B536" s="991"/>
      <c r="C536" s="991" t="s">
        <v>718</v>
      </c>
      <c r="D536" s="1144">
        <v>2</v>
      </c>
      <c r="E536" s="1028">
        <v>4800</v>
      </c>
      <c r="F536" s="1041">
        <v>5.8</v>
      </c>
      <c r="G536" s="1088">
        <v>2.9</v>
      </c>
      <c r="H536" s="632">
        <v>2.6</v>
      </c>
      <c r="I536" s="632">
        <v>3.4</v>
      </c>
      <c r="J536" s="1147">
        <v>400</v>
      </c>
      <c r="K536" s="1032" t="s">
        <v>347</v>
      </c>
      <c r="L536" s="1251">
        <v>12</v>
      </c>
      <c r="M536" s="1089">
        <v>7000</v>
      </c>
      <c r="N536" s="1264">
        <v>0.1</v>
      </c>
      <c r="O536" s="815">
        <v>2</v>
      </c>
      <c r="P536" s="812">
        <v>12</v>
      </c>
      <c r="Q536" s="507"/>
      <c r="R536" s="201" t="s">
        <v>413</v>
      </c>
      <c r="S536" s="201"/>
      <c r="T536" s="1278">
        <v>518.4</v>
      </c>
      <c r="U536" s="511"/>
      <c r="V536" s="632">
        <v>1.3714285714285714</v>
      </c>
      <c r="W536" s="613"/>
      <c r="X536" s="511"/>
      <c r="Y536" s="862">
        <v>1.3714285714285714</v>
      </c>
      <c r="Z536" s="828">
        <v>5.868342857142857</v>
      </c>
      <c r="AA536" s="867">
        <v>2.9341714285714287</v>
      </c>
      <c r="AB536" s="830"/>
      <c r="AC536" s="940">
        <v>9.6</v>
      </c>
      <c r="AD536" s="830" t="s">
        <v>899</v>
      </c>
      <c r="AE536" s="830">
        <v>0</v>
      </c>
      <c r="AF536" s="803">
        <v>8035</v>
      </c>
    </row>
    <row r="537" spans="1:32" ht="14.25">
      <c r="A537" s="154">
        <v>8036</v>
      </c>
      <c r="B537" s="992"/>
      <c r="C537" s="992" t="s">
        <v>719</v>
      </c>
      <c r="D537" s="524">
        <v>2</v>
      </c>
      <c r="E537" s="504">
        <v>13000</v>
      </c>
      <c r="F537" s="509">
        <v>13</v>
      </c>
      <c r="G537" s="1084">
        <v>6.4</v>
      </c>
      <c r="H537" s="518">
        <v>5.6</v>
      </c>
      <c r="I537" s="518">
        <v>7.8</v>
      </c>
      <c r="J537" s="768">
        <v>300</v>
      </c>
      <c r="K537" s="145" t="s">
        <v>347</v>
      </c>
      <c r="L537" s="492">
        <v>12</v>
      </c>
      <c r="M537" s="769">
        <v>7000</v>
      </c>
      <c r="N537" s="500">
        <v>0.25</v>
      </c>
      <c r="O537" s="788">
        <v>1.1</v>
      </c>
      <c r="P537" s="492">
        <v>12</v>
      </c>
      <c r="Q537" s="626"/>
      <c r="R537" s="627" t="s">
        <v>413</v>
      </c>
      <c r="S537" s="627"/>
      <c r="T537" s="1277">
        <v>1138</v>
      </c>
      <c r="U537" s="637"/>
      <c r="V537" s="518">
        <v>2.042857142857143</v>
      </c>
      <c r="W537" s="506"/>
      <c r="X537" s="637"/>
      <c r="Y537" s="863">
        <v>2.042857142857143</v>
      </c>
      <c r="Z537" s="831">
        <v>12.839619047619049</v>
      </c>
      <c r="AA537" s="868">
        <v>6.4198095238095245</v>
      </c>
      <c r="AB537" s="826"/>
      <c r="AC537" s="939">
        <v>26</v>
      </c>
      <c r="AD537" s="826" t="s">
        <v>899</v>
      </c>
      <c r="AE537" s="826">
        <v>0</v>
      </c>
      <c r="AF537" s="804">
        <v>8036</v>
      </c>
    </row>
    <row r="538" spans="1:32" ht="14.25">
      <c r="A538" s="496"/>
      <c r="B538" s="761"/>
      <c r="C538" s="496"/>
      <c r="D538" s="524"/>
      <c r="E538" s="504"/>
      <c r="F538" s="509"/>
      <c r="G538" s="1148"/>
      <c r="H538" s="518"/>
      <c r="I538" s="518"/>
      <c r="J538" s="768"/>
      <c r="K538" s="495"/>
      <c r="L538" s="496"/>
      <c r="M538" s="768"/>
      <c r="N538" s="500" t="s">
        <v>413</v>
      </c>
      <c r="O538" s="788" t="s">
        <v>413</v>
      </c>
      <c r="P538" s="810"/>
      <c r="Q538" s="507"/>
      <c r="R538" s="201" t="s">
        <v>413</v>
      </c>
      <c r="S538" s="201"/>
      <c r="T538" s="1277" t="s">
        <v>413</v>
      </c>
      <c r="U538" s="511"/>
      <c r="V538" s="518"/>
      <c r="W538" s="506"/>
      <c r="X538" s="511"/>
      <c r="Y538" s="823" t="s">
        <v>413</v>
      </c>
      <c r="Z538" s="831"/>
      <c r="AA538" s="868"/>
      <c r="AB538" s="802"/>
      <c r="AC538" s="939" t="s">
        <v>413</v>
      </c>
      <c r="AD538" s="826" t="s">
        <v>413</v>
      </c>
      <c r="AE538" s="826"/>
      <c r="AF538" s="802"/>
    </row>
    <row r="539" spans="1:32" ht="14.25">
      <c r="A539" s="987">
        <v>8050</v>
      </c>
      <c r="B539" s="988"/>
      <c r="C539" s="989" t="s">
        <v>720</v>
      </c>
      <c r="D539" s="1021"/>
      <c r="E539" s="1022"/>
      <c r="F539" s="1023"/>
      <c r="G539" s="1024"/>
      <c r="H539" s="1025"/>
      <c r="I539" s="1025"/>
      <c r="J539" s="1026"/>
      <c r="K539" s="1026"/>
      <c r="L539" s="1021"/>
      <c r="M539" s="1026"/>
      <c r="N539" s="1263" t="s">
        <v>413</v>
      </c>
      <c r="O539" s="816" t="s">
        <v>413</v>
      </c>
      <c r="P539" s="809"/>
      <c r="Q539" s="603"/>
      <c r="R539" s="605" t="s">
        <v>413</v>
      </c>
      <c r="S539" s="606"/>
      <c r="T539" s="1276" t="s">
        <v>413</v>
      </c>
      <c r="U539" s="604"/>
      <c r="V539" s="1025"/>
      <c r="W539" s="1025"/>
      <c r="X539" s="604"/>
      <c r="Y539" s="833" t="s">
        <v>413</v>
      </c>
      <c r="Z539" s="820"/>
      <c r="AA539" s="821"/>
      <c r="AB539" s="822"/>
      <c r="AC539" s="938" t="s">
        <v>413</v>
      </c>
      <c r="AD539" s="822" t="s">
        <v>413</v>
      </c>
      <c r="AE539" s="822"/>
      <c r="AF539" s="801">
        <v>8050</v>
      </c>
    </row>
    <row r="540" spans="1:32" ht="14.25">
      <c r="A540" s="496"/>
      <c r="B540" s="761"/>
      <c r="C540" s="496"/>
      <c r="D540" s="510"/>
      <c r="E540" s="504"/>
      <c r="F540" s="509"/>
      <c r="G540" s="1033"/>
      <c r="H540" s="511"/>
      <c r="I540" s="511"/>
      <c r="J540" s="766"/>
      <c r="K540" s="495"/>
      <c r="L540" s="496"/>
      <c r="M540" s="766"/>
      <c r="N540" s="500" t="s">
        <v>413</v>
      </c>
      <c r="O540" s="788" t="s">
        <v>413</v>
      </c>
      <c r="P540" s="810"/>
      <c r="Q540" s="507"/>
      <c r="R540" s="201" t="s">
        <v>413</v>
      </c>
      <c r="S540" s="201"/>
      <c r="T540" s="1277" t="s">
        <v>413</v>
      </c>
      <c r="U540" s="511"/>
      <c r="V540" s="511"/>
      <c r="W540" s="506"/>
      <c r="X540" s="511"/>
      <c r="Y540" s="823" t="s">
        <v>413</v>
      </c>
      <c r="Z540" s="831"/>
      <c r="AA540" s="861"/>
      <c r="AB540" s="802"/>
      <c r="AC540" s="939" t="s">
        <v>413</v>
      </c>
      <c r="AD540" s="826" t="s">
        <v>413</v>
      </c>
      <c r="AE540" s="826"/>
      <c r="AF540" s="802"/>
    </row>
    <row r="541" spans="1:32" ht="28.5">
      <c r="A541" s="154">
        <v>8052</v>
      </c>
      <c r="B541" s="992" t="s">
        <v>1501</v>
      </c>
      <c r="C541" s="992" t="s">
        <v>1531</v>
      </c>
      <c r="D541" s="510">
        <v>6</v>
      </c>
      <c r="E541" s="504">
        <v>49000</v>
      </c>
      <c r="F541" s="509">
        <v>28</v>
      </c>
      <c r="G541" s="1068">
        <v>470</v>
      </c>
      <c r="H541" s="511">
        <v>400</v>
      </c>
      <c r="I541" s="511">
        <v>580</v>
      </c>
      <c r="J541" s="774">
        <v>12</v>
      </c>
      <c r="K541" s="145">
        <v>25</v>
      </c>
      <c r="L541" s="492">
        <v>15</v>
      </c>
      <c r="M541" s="782">
        <v>500</v>
      </c>
      <c r="N541" s="500">
        <v>0.25</v>
      </c>
      <c r="O541" s="788">
        <v>0.85</v>
      </c>
      <c r="P541" s="492">
        <v>62</v>
      </c>
      <c r="Q541" s="609">
        <v>0.167</v>
      </c>
      <c r="R541" s="610">
        <v>1153.6</v>
      </c>
      <c r="S541" s="610">
        <v>133</v>
      </c>
      <c r="T541" s="1277">
        <v>3777.5</v>
      </c>
      <c r="U541" s="620">
        <v>109.55</v>
      </c>
      <c r="V541" s="511">
        <v>83.3</v>
      </c>
      <c r="W541" s="511">
        <v>27.187499999999996</v>
      </c>
      <c r="X541" s="620">
        <v>4.676</v>
      </c>
      <c r="Y541" s="848">
        <v>110.4875</v>
      </c>
      <c r="Z541" s="831">
        <v>28.068425000000005</v>
      </c>
      <c r="AA541" s="861">
        <v>467.8070833333334</v>
      </c>
      <c r="AB541" s="849">
        <v>9</v>
      </c>
      <c r="AC541" s="939">
        <v>98</v>
      </c>
      <c r="AD541" s="826" t="s">
        <v>484</v>
      </c>
      <c r="AE541" s="826">
        <v>2</v>
      </c>
      <c r="AF541" s="804">
        <v>8052</v>
      </c>
    </row>
    <row r="542" spans="1:32" ht="14.25">
      <c r="A542" s="496"/>
      <c r="B542" s="761"/>
      <c r="C542" s="496"/>
      <c r="D542" s="510"/>
      <c r="E542" s="504"/>
      <c r="F542" s="509"/>
      <c r="G542" s="1149"/>
      <c r="H542" s="511"/>
      <c r="I542" s="511"/>
      <c r="J542" s="774"/>
      <c r="K542" s="495"/>
      <c r="L542" s="496"/>
      <c r="M542" s="766"/>
      <c r="N542" s="500" t="s">
        <v>413</v>
      </c>
      <c r="O542" s="788" t="s">
        <v>413</v>
      </c>
      <c r="P542" s="810"/>
      <c r="Q542" s="507">
        <v>0.167</v>
      </c>
      <c r="R542" s="201">
        <v>1606.8</v>
      </c>
      <c r="S542" s="201">
        <v>210</v>
      </c>
      <c r="T542" s="1277" t="s">
        <v>413</v>
      </c>
      <c r="U542" s="511">
        <v>92.78999999999999</v>
      </c>
      <c r="V542" s="511"/>
      <c r="W542" s="511"/>
      <c r="X542" s="511">
        <v>4.676</v>
      </c>
      <c r="Y542" s="823" t="s">
        <v>413</v>
      </c>
      <c r="Z542" s="831"/>
      <c r="AA542" s="861"/>
      <c r="AB542" s="802"/>
      <c r="AC542" s="939" t="s">
        <v>413</v>
      </c>
      <c r="AD542" s="826" t="s">
        <v>413</v>
      </c>
      <c r="AE542" s="826"/>
      <c r="AF542" s="802"/>
    </row>
    <row r="543" spans="1:32" ht="14.25">
      <c r="A543" s="987">
        <v>8060</v>
      </c>
      <c r="B543" s="988"/>
      <c r="C543" s="989" t="s">
        <v>721</v>
      </c>
      <c r="D543" s="1021"/>
      <c r="E543" s="1022"/>
      <c r="F543" s="1023"/>
      <c r="G543" s="1024"/>
      <c r="H543" s="1025"/>
      <c r="I543" s="1025"/>
      <c r="J543" s="1026"/>
      <c r="K543" s="1026"/>
      <c r="L543" s="1021"/>
      <c r="M543" s="1026"/>
      <c r="N543" s="1263" t="s">
        <v>413</v>
      </c>
      <c r="O543" s="816" t="s">
        <v>413</v>
      </c>
      <c r="P543" s="809"/>
      <c r="Q543" s="609">
        <v>0.05</v>
      </c>
      <c r="R543" s="610">
        <v>2011.5</v>
      </c>
      <c r="S543" s="610">
        <v>154</v>
      </c>
      <c r="T543" s="1276" t="s">
        <v>413</v>
      </c>
      <c r="U543" s="620">
        <v>73.98333333333333</v>
      </c>
      <c r="V543" s="1025"/>
      <c r="W543" s="1025"/>
      <c r="X543" s="620">
        <v>1.4000000000000001</v>
      </c>
      <c r="Y543" s="833" t="s">
        <v>413</v>
      </c>
      <c r="Z543" s="820"/>
      <c r="AA543" s="821"/>
      <c r="AB543" s="822"/>
      <c r="AC543" s="938" t="s">
        <v>413</v>
      </c>
      <c r="AD543" s="822" t="s">
        <v>413</v>
      </c>
      <c r="AE543" s="822"/>
      <c r="AF543" s="801">
        <v>8060</v>
      </c>
    </row>
    <row r="544" spans="1:32" ht="14.25">
      <c r="A544" s="496"/>
      <c r="B544" s="761"/>
      <c r="C544" s="496"/>
      <c r="D544" s="510"/>
      <c r="E544" s="504"/>
      <c r="F544" s="532"/>
      <c r="G544" s="1065"/>
      <c r="H544" s="511"/>
      <c r="I544" s="511"/>
      <c r="J544" s="766"/>
      <c r="K544" s="495"/>
      <c r="L544" s="496"/>
      <c r="M544" s="766"/>
      <c r="N544" s="500" t="s">
        <v>413</v>
      </c>
      <c r="O544" s="788" t="s">
        <v>413</v>
      </c>
      <c r="P544" s="810"/>
      <c r="Q544" s="507"/>
      <c r="R544" s="201" t="s">
        <v>413</v>
      </c>
      <c r="S544" s="201"/>
      <c r="T544" s="1277" t="s">
        <v>413</v>
      </c>
      <c r="U544" s="511"/>
      <c r="V544" s="511"/>
      <c r="W544" s="511"/>
      <c r="X544" s="511"/>
      <c r="Y544" s="823" t="s">
        <v>413</v>
      </c>
      <c r="Z544" s="865"/>
      <c r="AA544" s="861"/>
      <c r="AB544" s="802"/>
      <c r="AC544" s="939" t="s">
        <v>413</v>
      </c>
      <c r="AD544" s="826" t="s">
        <v>413</v>
      </c>
      <c r="AE544" s="826"/>
      <c r="AF544" s="802"/>
    </row>
    <row r="545" spans="1:32" ht="14.25">
      <c r="A545" s="154">
        <v>8063</v>
      </c>
      <c r="B545" s="992"/>
      <c r="C545" s="763" t="s">
        <v>1356</v>
      </c>
      <c r="D545" s="510">
        <v>25</v>
      </c>
      <c r="E545" s="504">
        <v>137000</v>
      </c>
      <c r="F545" s="509">
        <v>110</v>
      </c>
      <c r="G545" s="1068">
        <v>450</v>
      </c>
      <c r="H545" s="511">
        <v>410</v>
      </c>
      <c r="I545" s="511">
        <v>530</v>
      </c>
      <c r="J545" s="766">
        <v>70</v>
      </c>
      <c r="K545" s="145" t="s">
        <v>347</v>
      </c>
      <c r="L545" s="492">
        <v>10</v>
      </c>
      <c r="M545" s="782">
        <v>1000</v>
      </c>
      <c r="N545" s="500">
        <v>0.1</v>
      </c>
      <c r="O545" s="788">
        <v>1.4</v>
      </c>
      <c r="P545" s="492">
        <v>94</v>
      </c>
      <c r="Q545" s="603"/>
      <c r="R545" s="605" t="s">
        <v>413</v>
      </c>
      <c r="S545" s="606"/>
      <c r="T545" s="1277">
        <v>15460</v>
      </c>
      <c r="U545" s="604"/>
      <c r="V545" s="511">
        <v>191.79999999999998</v>
      </c>
      <c r="W545" s="506"/>
      <c r="X545" s="604"/>
      <c r="Y545" s="848">
        <v>191.79999999999998</v>
      </c>
      <c r="Z545" s="831">
        <v>113.4807142857143</v>
      </c>
      <c r="AA545" s="861">
        <v>453.92285714285714</v>
      </c>
      <c r="AB545" s="826"/>
      <c r="AC545" s="939">
        <v>374</v>
      </c>
      <c r="AD545" s="826" t="s">
        <v>484</v>
      </c>
      <c r="AE545" s="826">
        <v>0</v>
      </c>
      <c r="AF545" s="804">
        <v>8063</v>
      </c>
    </row>
    <row r="546" spans="1:32" ht="14.25">
      <c r="A546" s="990">
        <v>8064</v>
      </c>
      <c r="B546" s="991"/>
      <c r="C546" s="993" t="s">
        <v>722</v>
      </c>
      <c r="D546" s="1040">
        <v>60</v>
      </c>
      <c r="E546" s="1028">
        <v>95000</v>
      </c>
      <c r="F546" s="1041">
        <v>150</v>
      </c>
      <c r="G546" s="1067">
        <v>250</v>
      </c>
      <c r="H546" s="620">
        <v>220</v>
      </c>
      <c r="I546" s="620">
        <v>290</v>
      </c>
      <c r="J546" s="1043">
        <v>80</v>
      </c>
      <c r="K546" s="1032" t="s">
        <v>347</v>
      </c>
      <c r="L546" s="1251">
        <v>10</v>
      </c>
      <c r="M546" s="1252">
        <v>1400</v>
      </c>
      <c r="N546" s="1264">
        <v>0.25</v>
      </c>
      <c r="O546" s="815">
        <v>1.6</v>
      </c>
      <c r="P546" s="812">
        <v>52</v>
      </c>
      <c r="Q546" s="507"/>
      <c r="R546" s="201" t="s">
        <v>413</v>
      </c>
      <c r="S546" s="201"/>
      <c r="T546" s="1278">
        <v>9389.5</v>
      </c>
      <c r="U546" s="511"/>
      <c r="V546" s="620">
        <v>108.57142857142858</v>
      </c>
      <c r="W546" s="613"/>
      <c r="X546" s="511"/>
      <c r="Y546" s="846">
        <v>108.57142857142858</v>
      </c>
      <c r="Z546" s="828">
        <v>149.1205178571429</v>
      </c>
      <c r="AA546" s="838">
        <v>248.53419642857148</v>
      </c>
      <c r="AB546" s="830"/>
      <c r="AC546" s="940">
        <v>290</v>
      </c>
      <c r="AD546" s="830" t="s">
        <v>484</v>
      </c>
      <c r="AE546" s="830">
        <v>0</v>
      </c>
      <c r="AF546" s="803">
        <v>8064</v>
      </c>
    </row>
    <row r="547" spans="1:32" ht="14.25">
      <c r="A547" s="154">
        <v>8065</v>
      </c>
      <c r="B547" s="992"/>
      <c r="C547" s="763" t="s">
        <v>1015</v>
      </c>
      <c r="D547" s="510">
        <v>70</v>
      </c>
      <c r="E547" s="504">
        <v>174000</v>
      </c>
      <c r="F547" s="509">
        <v>250</v>
      </c>
      <c r="G547" s="1068">
        <v>350</v>
      </c>
      <c r="H547" s="511">
        <v>310</v>
      </c>
      <c r="I547" s="511">
        <v>430</v>
      </c>
      <c r="J547" s="766">
        <v>80</v>
      </c>
      <c r="K547" s="145" t="s">
        <v>347</v>
      </c>
      <c r="L547" s="492">
        <v>10</v>
      </c>
      <c r="M547" s="782">
        <v>1400</v>
      </c>
      <c r="N547" s="500">
        <v>0.25</v>
      </c>
      <c r="O547" s="788">
        <v>0.85</v>
      </c>
      <c r="P547" s="492">
        <v>118</v>
      </c>
      <c r="Q547" s="639">
        <v>1</v>
      </c>
      <c r="R547" s="610">
        <v>2958</v>
      </c>
      <c r="S547" s="610">
        <v>350</v>
      </c>
      <c r="T547" s="1277">
        <v>17251</v>
      </c>
      <c r="U547" s="620">
        <v>422</v>
      </c>
      <c r="V547" s="511">
        <v>105.64285714285714</v>
      </c>
      <c r="W547" s="506"/>
      <c r="X547" s="620">
        <v>28</v>
      </c>
      <c r="Y547" s="848">
        <v>105.64285714285714</v>
      </c>
      <c r="Z547" s="831">
        <v>247.38587500000006</v>
      </c>
      <c r="AA547" s="861">
        <v>353.4083928571429</v>
      </c>
      <c r="AB547" s="826"/>
      <c r="AC547" s="939">
        <v>448</v>
      </c>
      <c r="AD547" s="826" t="s">
        <v>484</v>
      </c>
      <c r="AE547" s="826">
        <v>0</v>
      </c>
      <c r="AF547" s="804">
        <v>8065</v>
      </c>
    </row>
    <row r="548" spans="1:32" ht="28.5">
      <c r="A548" s="990">
        <v>8067</v>
      </c>
      <c r="B548" s="991"/>
      <c r="C548" s="993" t="s">
        <v>1357</v>
      </c>
      <c r="D548" s="1040">
        <v>80</v>
      </c>
      <c r="E548" s="1028">
        <v>636000</v>
      </c>
      <c r="F548" s="1041">
        <v>400</v>
      </c>
      <c r="G548" s="1067">
        <v>500</v>
      </c>
      <c r="H548" s="620">
        <v>440</v>
      </c>
      <c r="I548" s="620">
        <v>620</v>
      </c>
      <c r="J548" s="1043">
        <v>200</v>
      </c>
      <c r="K548" s="1032">
        <v>40</v>
      </c>
      <c r="L548" s="1251">
        <v>10</v>
      </c>
      <c r="M548" s="1252">
        <v>5000</v>
      </c>
      <c r="N548" s="1264">
        <v>0.25</v>
      </c>
      <c r="O548" s="815">
        <v>0.7</v>
      </c>
      <c r="P548" s="812">
        <v>237</v>
      </c>
      <c r="Q548" s="533">
        <v>1</v>
      </c>
      <c r="R548" s="201">
        <v>6177</v>
      </c>
      <c r="S548" s="201">
        <v>546</v>
      </c>
      <c r="T548" s="1278">
        <v>62024</v>
      </c>
      <c r="U548" s="511">
        <v>686.5</v>
      </c>
      <c r="V548" s="620">
        <v>89.03999999999999</v>
      </c>
      <c r="W548" s="620">
        <v>58.4325</v>
      </c>
      <c r="X548" s="511">
        <v>28</v>
      </c>
      <c r="Y548" s="846">
        <v>147.4725</v>
      </c>
      <c r="Z548" s="828">
        <v>402.6814</v>
      </c>
      <c r="AA548" s="838">
        <v>503.35175000000004</v>
      </c>
      <c r="AB548" s="847">
        <v>265</v>
      </c>
      <c r="AC548" s="940">
        <v>1772</v>
      </c>
      <c r="AD548" s="830" t="s">
        <v>484</v>
      </c>
      <c r="AE548" s="830">
        <v>1</v>
      </c>
      <c r="AF548" s="803">
        <v>8067</v>
      </c>
    </row>
    <row r="549" spans="1:32" ht="14.25">
      <c r="A549" s="154">
        <v>8069</v>
      </c>
      <c r="B549" s="992"/>
      <c r="C549" s="763" t="s">
        <v>723</v>
      </c>
      <c r="D549" s="510">
        <v>12</v>
      </c>
      <c r="E549" s="504">
        <v>69000</v>
      </c>
      <c r="F549" s="509">
        <v>88</v>
      </c>
      <c r="G549" s="1068">
        <v>730</v>
      </c>
      <c r="H549" s="511">
        <v>620</v>
      </c>
      <c r="I549" s="511">
        <v>920</v>
      </c>
      <c r="J549" s="766">
        <v>12</v>
      </c>
      <c r="K549" s="145" t="s">
        <v>347</v>
      </c>
      <c r="L549" s="492">
        <v>12</v>
      </c>
      <c r="M549" s="766">
        <v>300</v>
      </c>
      <c r="N549" s="500">
        <v>0.25</v>
      </c>
      <c r="O549" s="788">
        <v>0.65</v>
      </c>
      <c r="P549" s="492">
        <v>72</v>
      </c>
      <c r="Q549" s="639">
        <v>1</v>
      </c>
      <c r="R549" s="610">
        <v>7656</v>
      </c>
      <c r="S549" s="610">
        <v>609</v>
      </c>
      <c r="T549" s="1277">
        <v>6190</v>
      </c>
      <c r="U549" s="620">
        <v>703.4166666666666</v>
      </c>
      <c r="V549" s="511">
        <v>149.5</v>
      </c>
      <c r="W549" s="506"/>
      <c r="X549" s="620">
        <v>28</v>
      </c>
      <c r="Y549" s="848">
        <v>149.5</v>
      </c>
      <c r="Z549" s="831">
        <v>87.82400000000001</v>
      </c>
      <c r="AA549" s="861">
        <v>731.8666666666668</v>
      </c>
      <c r="AB549" s="826"/>
      <c r="AC549" s="939">
        <v>238</v>
      </c>
      <c r="AD549" s="826" t="s">
        <v>484</v>
      </c>
      <c r="AE549" s="826">
        <v>0</v>
      </c>
      <c r="AF549" s="804">
        <v>8069</v>
      </c>
    </row>
    <row r="550" spans="1:32" ht="14.25">
      <c r="A550" s="496"/>
      <c r="B550" s="761"/>
      <c r="C550" s="496"/>
      <c r="D550" s="510"/>
      <c r="E550" s="504"/>
      <c r="F550" s="509"/>
      <c r="G550" s="1065"/>
      <c r="H550" s="511"/>
      <c r="I550" s="511"/>
      <c r="J550" s="766"/>
      <c r="K550" s="495"/>
      <c r="L550" s="496"/>
      <c r="M550" s="766"/>
      <c r="N550" s="500" t="s">
        <v>413</v>
      </c>
      <c r="O550" s="788" t="s">
        <v>413</v>
      </c>
      <c r="P550" s="810"/>
      <c r="Q550" s="533">
        <v>1</v>
      </c>
      <c r="R550" s="201">
        <v>10875</v>
      </c>
      <c r="S550" s="201">
        <v>609</v>
      </c>
      <c r="T550" s="1277" t="s">
        <v>413</v>
      </c>
      <c r="U550" s="511">
        <v>977.8333333333334</v>
      </c>
      <c r="V550" s="511"/>
      <c r="W550" s="506"/>
      <c r="X550" s="511">
        <v>28</v>
      </c>
      <c r="Y550" s="823" t="s">
        <v>413</v>
      </c>
      <c r="Z550" s="831"/>
      <c r="AA550" s="861"/>
      <c r="AB550" s="802"/>
      <c r="AC550" s="939" t="s">
        <v>413</v>
      </c>
      <c r="AD550" s="826" t="s">
        <v>413</v>
      </c>
      <c r="AE550" s="826"/>
      <c r="AF550" s="802"/>
    </row>
    <row r="551" spans="1:32" ht="14.25">
      <c r="A551" s="987">
        <v>8080</v>
      </c>
      <c r="B551" s="988"/>
      <c r="C551" s="989" t="s">
        <v>724</v>
      </c>
      <c r="D551" s="1021"/>
      <c r="E551" s="1022"/>
      <c r="F551" s="1023"/>
      <c r="G551" s="1024"/>
      <c r="H551" s="1025"/>
      <c r="I551" s="1025"/>
      <c r="J551" s="1026"/>
      <c r="K551" s="1026"/>
      <c r="L551" s="1021"/>
      <c r="M551" s="1026"/>
      <c r="N551" s="1263" t="s">
        <v>413</v>
      </c>
      <c r="O551" s="816" t="s">
        <v>413</v>
      </c>
      <c r="P551" s="809"/>
      <c r="Q551" s="639">
        <v>1</v>
      </c>
      <c r="R551" s="610">
        <v>15573</v>
      </c>
      <c r="S551" s="610">
        <v>875</v>
      </c>
      <c r="T551" s="1276" t="s">
        <v>413</v>
      </c>
      <c r="U551" s="620">
        <v>840.3</v>
      </c>
      <c r="V551" s="1025"/>
      <c r="W551" s="1025"/>
      <c r="X551" s="620">
        <v>28</v>
      </c>
      <c r="Y551" s="833" t="s">
        <v>413</v>
      </c>
      <c r="Z551" s="820"/>
      <c r="AA551" s="821"/>
      <c r="AB551" s="822"/>
      <c r="AC551" s="938" t="s">
        <v>413</v>
      </c>
      <c r="AD551" s="822" t="s">
        <v>413</v>
      </c>
      <c r="AE551" s="822"/>
      <c r="AF551" s="801">
        <v>8080</v>
      </c>
    </row>
    <row r="552" spans="1:32" ht="14.25">
      <c r="A552" s="496"/>
      <c r="B552" s="761"/>
      <c r="C552" s="496"/>
      <c r="D552" s="510"/>
      <c r="E552" s="504"/>
      <c r="F552" s="509"/>
      <c r="G552" s="1065"/>
      <c r="H552" s="511"/>
      <c r="I552" s="511"/>
      <c r="J552" s="766"/>
      <c r="K552" s="495"/>
      <c r="L552" s="496"/>
      <c r="M552" s="766"/>
      <c r="N552" s="500" t="s">
        <v>413</v>
      </c>
      <c r="O552" s="788" t="s">
        <v>413</v>
      </c>
      <c r="P552" s="810"/>
      <c r="Q552" s="533"/>
      <c r="R552" s="201" t="s">
        <v>413</v>
      </c>
      <c r="S552" s="201"/>
      <c r="T552" s="1277" t="s">
        <v>413</v>
      </c>
      <c r="U552" s="511"/>
      <c r="V552" s="511"/>
      <c r="W552" s="506"/>
      <c r="X552" s="511"/>
      <c r="Y552" s="823" t="s">
        <v>413</v>
      </c>
      <c r="Z552" s="831"/>
      <c r="AA552" s="861"/>
      <c r="AB552" s="802"/>
      <c r="AC552" s="939" t="s">
        <v>413</v>
      </c>
      <c r="AD552" s="826" t="s">
        <v>413</v>
      </c>
      <c r="AE552" s="826"/>
      <c r="AF552" s="802"/>
    </row>
    <row r="553" spans="1:32" ht="28.5">
      <c r="A553" s="1003">
        <v>8082</v>
      </c>
      <c r="B553" s="1005"/>
      <c r="C553" s="1005" t="s">
        <v>1016</v>
      </c>
      <c r="D553" s="1150">
        <v>80</v>
      </c>
      <c r="E553" s="1078">
        <v>569000</v>
      </c>
      <c r="F553" s="1151">
        <v>260</v>
      </c>
      <c r="G553" s="1152">
        <v>3.3</v>
      </c>
      <c r="H553" s="1153"/>
      <c r="I553" s="1154">
        <v>320</v>
      </c>
      <c r="J553" s="1155">
        <v>400</v>
      </c>
      <c r="K553" s="1083">
        <v>35</v>
      </c>
      <c r="L553" s="1257">
        <v>12</v>
      </c>
      <c r="M553" s="1258">
        <v>5000</v>
      </c>
      <c r="N553" s="1267">
        <v>0</v>
      </c>
      <c r="O553" s="1271">
        <v>0.6</v>
      </c>
      <c r="P553" s="1272">
        <v>256</v>
      </c>
      <c r="Q553" s="603"/>
      <c r="R553" s="605" t="s">
        <v>413</v>
      </c>
      <c r="S553" s="606"/>
      <c r="T553" s="1282">
        <v>59125.666666666664</v>
      </c>
      <c r="U553" s="604"/>
      <c r="V553" s="1154">
        <v>68.28</v>
      </c>
      <c r="W553" s="1154">
        <v>24.696</v>
      </c>
      <c r="X553" s="604"/>
      <c r="Y553" s="1291">
        <v>92.976</v>
      </c>
      <c r="Z553" s="1289">
        <v>264.86918333333335</v>
      </c>
      <c r="AA553" s="1290">
        <v>3.310864791666667</v>
      </c>
      <c r="AB553" s="1298">
        <v>160</v>
      </c>
      <c r="AC553" s="1300">
        <v>1638</v>
      </c>
      <c r="AD553" s="1297" t="s">
        <v>483</v>
      </c>
      <c r="AE553" s="1297">
        <v>1</v>
      </c>
      <c r="AF553" s="1302">
        <v>8082</v>
      </c>
    </row>
    <row r="554" spans="1:32" ht="14.25">
      <c r="A554" s="496"/>
      <c r="B554" s="761"/>
      <c r="C554" s="496"/>
      <c r="D554" s="503"/>
      <c r="E554" s="504"/>
      <c r="F554" s="509"/>
      <c r="G554" s="495"/>
      <c r="H554" s="506"/>
      <c r="I554" s="506"/>
      <c r="J554" s="764"/>
      <c r="K554" s="495"/>
      <c r="L554" s="496"/>
      <c r="M554" s="780"/>
      <c r="N554" s="500" t="s">
        <v>413</v>
      </c>
      <c r="O554" s="788" t="s">
        <v>413</v>
      </c>
      <c r="P554" s="810"/>
      <c r="Q554" s="507"/>
      <c r="R554" s="201" t="s">
        <v>413</v>
      </c>
      <c r="S554" s="201"/>
      <c r="T554" s="1277" t="s">
        <v>413</v>
      </c>
      <c r="U554" s="511"/>
      <c r="V554" s="506"/>
      <c r="W554" s="506"/>
      <c r="X554" s="511"/>
      <c r="Y554" s="823" t="s">
        <v>413</v>
      </c>
      <c r="Z554" s="831"/>
      <c r="AA554" s="850"/>
      <c r="AB554" s="802"/>
      <c r="AC554" s="939" t="s">
        <v>413</v>
      </c>
      <c r="AD554" s="826" t="s">
        <v>413</v>
      </c>
      <c r="AE554" s="826"/>
      <c r="AF554" s="802"/>
    </row>
    <row r="555" spans="1:32" ht="14.25">
      <c r="A555" s="997"/>
      <c r="B555" s="998"/>
      <c r="C555" s="999" t="s">
        <v>725</v>
      </c>
      <c r="D555" s="1057"/>
      <c r="E555" s="1058"/>
      <c r="F555" s="1059"/>
      <c r="G555" s="1060"/>
      <c r="H555" s="1061"/>
      <c r="I555" s="1061"/>
      <c r="J555" s="1062"/>
      <c r="K555" s="1063"/>
      <c r="L555" s="1253"/>
      <c r="M555" s="1062"/>
      <c r="N555" s="1265" t="s">
        <v>413</v>
      </c>
      <c r="O555" s="817" t="s">
        <v>413</v>
      </c>
      <c r="P555" s="813"/>
      <c r="Q555" s="609"/>
      <c r="R555" s="610">
        <v>16.89</v>
      </c>
      <c r="S555" s="610"/>
      <c r="T555" s="1280" t="s">
        <v>413</v>
      </c>
      <c r="U555" s="640">
        <v>16.89</v>
      </c>
      <c r="V555" s="1061"/>
      <c r="W555" s="1061"/>
      <c r="X555" s="632"/>
      <c r="Y555" s="856" t="s">
        <v>413</v>
      </c>
      <c r="Z555" s="857"/>
      <c r="AA555" s="890"/>
      <c r="AB555" s="859"/>
      <c r="AC555" s="942" t="s">
        <v>413</v>
      </c>
      <c r="AD555" s="859" t="s">
        <v>413</v>
      </c>
      <c r="AE555" s="859"/>
      <c r="AF555" s="805"/>
    </row>
    <row r="556" spans="1:32" ht="14.25">
      <c r="A556" s="496"/>
      <c r="B556" s="761"/>
      <c r="C556" s="496"/>
      <c r="D556" s="510"/>
      <c r="E556" s="504"/>
      <c r="F556" s="509"/>
      <c r="G556" s="1065"/>
      <c r="H556" s="511"/>
      <c r="I556" s="511"/>
      <c r="J556" s="766"/>
      <c r="K556" s="495"/>
      <c r="L556" s="496"/>
      <c r="M556" s="766"/>
      <c r="N556" s="500" t="s">
        <v>413</v>
      </c>
      <c r="O556" s="788" t="s">
        <v>413</v>
      </c>
      <c r="P556" s="810"/>
      <c r="Q556" s="507">
        <v>0.02</v>
      </c>
      <c r="R556" s="201">
        <v>818.16</v>
      </c>
      <c r="S556" s="201">
        <v>70</v>
      </c>
      <c r="T556" s="1277" t="s">
        <v>413</v>
      </c>
      <c r="U556" s="518">
        <v>2.2624</v>
      </c>
      <c r="V556" s="511"/>
      <c r="W556" s="506"/>
      <c r="X556" s="518">
        <v>0.56</v>
      </c>
      <c r="Y556" s="823" t="s">
        <v>413</v>
      </c>
      <c r="Z556" s="831"/>
      <c r="AA556" s="861"/>
      <c r="AB556" s="802"/>
      <c r="AC556" s="939" t="s">
        <v>413</v>
      </c>
      <c r="AD556" s="826" t="s">
        <v>413</v>
      </c>
      <c r="AE556" s="826"/>
      <c r="AF556" s="802"/>
    </row>
    <row r="557" spans="1:32" ht="14.25">
      <c r="A557" s="987">
        <v>9000</v>
      </c>
      <c r="B557" s="988"/>
      <c r="C557" s="995" t="s">
        <v>726</v>
      </c>
      <c r="D557" s="1036"/>
      <c r="E557" s="1022"/>
      <c r="F557" s="1023"/>
      <c r="G557" s="1024"/>
      <c r="H557" s="1025"/>
      <c r="I557" s="1025"/>
      <c r="J557" s="1026"/>
      <c r="K557" s="1026"/>
      <c r="L557" s="1021"/>
      <c r="M557" s="1026"/>
      <c r="N557" s="1263" t="s">
        <v>413</v>
      </c>
      <c r="O557" s="816" t="s">
        <v>413</v>
      </c>
      <c r="P557" s="809"/>
      <c r="Q557" s="609">
        <v>0.02</v>
      </c>
      <c r="R557" s="610">
        <v>1022.7</v>
      </c>
      <c r="S557" s="610">
        <v>119</v>
      </c>
      <c r="T557" s="1276" t="s">
        <v>413</v>
      </c>
      <c r="U557" s="632">
        <v>2.90675</v>
      </c>
      <c r="V557" s="1025"/>
      <c r="W557" s="1025"/>
      <c r="X557" s="632">
        <v>0.56</v>
      </c>
      <c r="Y557" s="833" t="s">
        <v>413</v>
      </c>
      <c r="Z557" s="820"/>
      <c r="AA557" s="821"/>
      <c r="AB557" s="822"/>
      <c r="AC557" s="938" t="s">
        <v>413</v>
      </c>
      <c r="AD557" s="822" t="s">
        <v>413</v>
      </c>
      <c r="AE557" s="822"/>
      <c r="AF557" s="801">
        <v>9000</v>
      </c>
    </row>
    <row r="558" spans="1:32" ht="14.25">
      <c r="A558" s="496"/>
      <c r="B558" s="761"/>
      <c r="C558" s="496"/>
      <c r="D558" s="510"/>
      <c r="E558" s="504"/>
      <c r="F558" s="509"/>
      <c r="G558" s="1065"/>
      <c r="H558" s="511"/>
      <c r="I558" s="511"/>
      <c r="J558" s="766"/>
      <c r="K558" s="495"/>
      <c r="L558" s="496"/>
      <c r="M558" s="766"/>
      <c r="N558" s="500" t="s">
        <v>413</v>
      </c>
      <c r="O558" s="788" t="s">
        <v>413</v>
      </c>
      <c r="P558" s="810"/>
      <c r="Q558" s="507">
        <v>0.0333</v>
      </c>
      <c r="R558" s="201">
        <v>1948</v>
      </c>
      <c r="S558" s="201">
        <v>189</v>
      </c>
      <c r="T558" s="1277" t="s">
        <v>413</v>
      </c>
      <c r="U558" s="518">
        <v>5.4425</v>
      </c>
      <c r="V558" s="511"/>
      <c r="W558" s="506"/>
      <c r="X558" s="518">
        <v>0.9324000000000001</v>
      </c>
      <c r="Y558" s="823" t="s">
        <v>413</v>
      </c>
      <c r="Z558" s="831"/>
      <c r="AA558" s="861"/>
      <c r="AB558" s="802"/>
      <c r="AC558" s="939" t="s">
        <v>413</v>
      </c>
      <c r="AD558" s="826" t="s">
        <v>413</v>
      </c>
      <c r="AE558" s="826"/>
      <c r="AF558" s="802"/>
    </row>
    <row r="559" spans="1:32" ht="14.25">
      <c r="A559" s="990">
        <v>9001</v>
      </c>
      <c r="B559" s="991"/>
      <c r="C559" s="991" t="s">
        <v>1022</v>
      </c>
      <c r="D559" s="1040">
        <v>137</v>
      </c>
      <c r="E559" s="1028">
        <v>7100</v>
      </c>
      <c r="F559" s="1041">
        <v>70</v>
      </c>
      <c r="G559" s="1067">
        <v>51</v>
      </c>
      <c r="H559" s="620">
        <v>45</v>
      </c>
      <c r="I559" s="620">
        <v>60</v>
      </c>
      <c r="J559" s="1043">
        <v>30</v>
      </c>
      <c r="K559" s="1032" t="s">
        <v>347</v>
      </c>
      <c r="L559" s="1251">
        <v>10</v>
      </c>
      <c r="M559" s="1043">
        <v>800</v>
      </c>
      <c r="N559" s="1264">
        <v>0.25</v>
      </c>
      <c r="O559" s="815">
        <v>2.35</v>
      </c>
      <c r="P559" s="812">
        <v>14</v>
      </c>
      <c r="Q559" s="609">
        <v>0.025</v>
      </c>
      <c r="R559" s="610">
        <v>448.04</v>
      </c>
      <c r="S559" s="610">
        <v>84</v>
      </c>
      <c r="T559" s="1278">
        <v>754.95</v>
      </c>
      <c r="U559" s="632">
        <v>1.3531</v>
      </c>
      <c r="V559" s="620">
        <v>20.85625</v>
      </c>
      <c r="W559" s="613"/>
      <c r="X559" s="632">
        <v>0.7000000000000001</v>
      </c>
      <c r="Y559" s="846">
        <v>20.85625</v>
      </c>
      <c r="Z559" s="828">
        <v>69.35402375000001</v>
      </c>
      <c r="AA559" s="838">
        <v>50.623375</v>
      </c>
      <c r="AB559" s="830"/>
      <c r="AC559" s="940">
        <v>14.200000000000001</v>
      </c>
      <c r="AD559" s="830" t="s">
        <v>484</v>
      </c>
      <c r="AE559" s="830">
        <v>0</v>
      </c>
      <c r="AF559" s="803">
        <v>9001</v>
      </c>
    </row>
    <row r="560" spans="1:32" ht="14.25">
      <c r="A560" s="154">
        <v>9002</v>
      </c>
      <c r="B560" s="992"/>
      <c r="C560" s="992" t="s">
        <v>727</v>
      </c>
      <c r="D560" s="510">
        <v>137</v>
      </c>
      <c r="E560" s="504">
        <v>12500</v>
      </c>
      <c r="F560" s="509">
        <v>44</v>
      </c>
      <c r="G560" s="1068">
        <v>32</v>
      </c>
      <c r="H560" s="511">
        <v>28</v>
      </c>
      <c r="I560" s="511">
        <v>40</v>
      </c>
      <c r="J560" s="766">
        <v>70</v>
      </c>
      <c r="K560" s="145" t="s">
        <v>347</v>
      </c>
      <c r="L560" s="492">
        <v>10</v>
      </c>
      <c r="M560" s="766">
        <v>1000</v>
      </c>
      <c r="N560" s="500">
        <v>0.1</v>
      </c>
      <c r="O560" s="788">
        <v>0.7</v>
      </c>
      <c r="P560" s="492">
        <v>13</v>
      </c>
      <c r="Q560" s="507">
        <v>0.02</v>
      </c>
      <c r="R560" s="201">
        <v>809.1</v>
      </c>
      <c r="S560" s="201">
        <v>84</v>
      </c>
      <c r="T560" s="1277">
        <v>1428</v>
      </c>
      <c r="U560" s="518">
        <v>3.039</v>
      </c>
      <c r="V560" s="511">
        <v>8.75</v>
      </c>
      <c r="W560" s="506"/>
      <c r="X560" s="518">
        <v>0.56</v>
      </c>
      <c r="Y560" s="848">
        <v>8.75</v>
      </c>
      <c r="Z560" s="831">
        <v>43.92905</v>
      </c>
      <c r="AA560" s="861">
        <v>32.065</v>
      </c>
      <c r="AB560" s="826"/>
      <c r="AC560" s="939">
        <v>25</v>
      </c>
      <c r="AD560" s="826" t="s">
        <v>484</v>
      </c>
      <c r="AE560" s="826">
        <v>0</v>
      </c>
      <c r="AF560" s="804">
        <v>9002</v>
      </c>
    </row>
    <row r="561" spans="1:32" ht="14.25">
      <c r="A561" s="990">
        <v>9003</v>
      </c>
      <c r="B561" s="991"/>
      <c r="C561" s="991" t="s">
        <v>728</v>
      </c>
      <c r="D561" s="1040">
        <v>130</v>
      </c>
      <c r="E561" s="1028">
        <v>8800</v>
      </c>
      <c r="F561" s="1041">
        <v>26</v>
      </c>
      <c r="G561" s="1067">
        <v>20</v>
      </c>
      <c r="H561" s="620">
        <v>17</v>
      </c>
      <c r="I561" s="620">
        <v>24</v>
      </c>
      <c r="J561" s="1043">
        <v>70</v>
      </c>
      <c r="K561" s="1032" t="s">
        <v>347</v>
      </c>
      <c r="L561" s="1251">
        <v>12</v>
      </c>
      <c r="M561" s="1043">
        <v>1500</v>
      </c>
      <c r="N561" s="1264">
        <v>0.25</v>
      </c>
      <c r="O561" s="815">
        <v>1.05</v>
      </c>
      <c r="P561" s="812">
        <v>15</v>
      </c>
      <c r="Q561" s="507"/>
      <c r="R561" s="201" t="s">
        <v>413</v>
      </c>
      <c r="S561" s="201"/>
      <c r="T561" s="1278">
        <v>811.6</v>
      </c>
      <c r="U561" s="518"/>
      <c r="V561" s="620">
        <v>6.16</v>
      </c>
      <c r="W561" s="613"/>
      <c r="X561" s="518"/>
      <c r="Y561" s="846">
        <v>6.16</v>
      </c>
      <c r="Z561" s="828">
        <v>25.388628571428576</v>
      </c>
      <c r="AA561" s="838">
        <v>19.529714285714288</v>
      </c>
      <c r="AB561" s="830"/>
      <c r="AC561" s="940">
        <v>17.6</v>
      </c>
      <c r="AD561" s="830" t="s">
        <v>484</v>
      </c>
      <c r="AE561" s="830">
        <v>0</v>
      </c>
      <c r="AF561" s="803">
        <v>9003</v>
      </c>
    </row>
    <row r="562" spans="1:32" ht="14.25">
      <c r="A562" s="496"/>
      <c r="B562" s="761"/>
      <c r="C562" s="496"/>
      <c r="D562" s="510"/>
      <c r="E562" s="504"/>
      <c r="F562" s="509"/>
      <c r="G562" s="1065"/>
      <c r="H562" s="511"/>
      <c r="I562" s="511"/>
      <c r="J562" s="766"/>
      <c r="K562" s="495"/>
      <c r="L562" s="496"/>
      <c r="M562" s="766"/>
      <c r="N562" s="500" t="s">
        <v>413</v>
      </c>
      <c r="O562" s="788" t="s">
        <v>413</v>
      </c>
      <c r="P562" s="810"/>
      <c r="Q562" s="603"/>
      <c r="R562" s="605" t="s">
        <v>413</v>
      </c>
      <c r="S562" s="606"/>
      <c r="T562" s="1277" t="s">
        <v>413</v>
      </c>
      <c r="U562" s="604"/>
      <c r="V562" s="511"/>
      <c r="W562" s="506"/>
      <c r="X562" s="604"/>
      <c r="Y562" s="848" t="s">
        <v>413</v>
      </c>
      <c r="Z562" s="831"/>
      <c r="AA562" s="861"/>
      <c r="AB562" s="802"/>
      <c r="AC562" s="939" t="s">
        <v>413</v>
      </c>
      <c r="AD562" s="826" t="s">
        <v>413</v>
      </c>
      <c r="AE562" s="826"/>
      <c r="AF562" s="802"/>
    </row>
    <row r="563" spans="1:32" ht="14.25">
      <c r="A563" s="987">
        <v>9010</v>
      </c>
      <c r="B563" s="988"/>
      <c r="C563" s="1015" t="s">
        <v>729</v>
      </c>
      <c r="D563" s="1022"/>
      <c r="E563" s="1022"/>
      <c r="F563" s="1023"/>
      <c r="G563" s="1024"/>
      <c r="H563" s="1025"/>
      <c r="I563" s="1025"/>
      <c r="J563" s="1026"/>
      <c r="K563" s="1026"/>
      <c r="L563" s="1021"/>
      <c r="M563" s="1026"/>
      <c r="N563" s="1263" t="s">
        <v>413</v>
      </c>
      <c r="O563" s="816" t="s">
        <v>413</v>
      </c>
      <c r="P563" s="809"/>
      <c r="Q563" s="533"/>
      <c r="R563" s="201" t="s">
        <v>413</v>
      </c>
      <c r="S563" s="201"/>
      <c r="T563" s="1276" t="s">
        <v>413</v>
      </c>
      <c r="U563" s="534"/>
      <c r="V563" s="1025"/>
      <c r="W563" s="1025"/>
      <c r="X563" s="511"/>
      <c r="Y563" s="874" t="s">
        <v>413</v>
      </c>
      <c r="Z563" s="820"/>
      <c r="AA563" s="821"/>
      <c r="AB563" s="822"/>
      <c r="AC563" s="938" t="s">
        <v>413</v>
      </c>
      <c r="AD563" s="822" t="s">
        <v>413</v>
      </c>
      <c r="AE563" s="822"/>
      <c r="AF563" s="801">
        <v>9010</v>
      </c>
    </row>
    <row r="564" spans="1:32" ht="14.25">
      <c r="A564" s="496"/>
      <c r="B564" s="761"/>
      <c r="C564" s="496"/>
      <c r="D564" s="510"/>
      <c r="E564" s="504"/>
      <c r="F564" s="509"/>
      <c r="G564" s="1065"/>
      <c r="H564" s="511"/>
      <c r="I564" s="511"/>
      <c r="J564" s="766"/>
      <c r="K564" s="495"/>
      <c r="L564" s="496"/>
      <c r="M564" s="786"/>
      <c r="N564" s="500" t="s">
        <v>413</v>
      </c>
      <c r="O564" s="788" t="s">
        <v>413</v>
      </c>
      <c r="P564" s="810"/>
      <c r="Q564" s="609">
        <v>0.25</v>
      </c>
      <c r="R564" s="610">
        <v>1378.25</v>
      </c>
      <c r="S564" s="610">
        <v>434</v>
      </c>
      <c r="T564" s="1277" t="s">
        <v>413</v>
      </c>
      <c r="U564" s="641">
        <v>308.2083333333333</v>
      </c>
      <c r="V564" s="511"/>
      <c r="W564" s="506"/>
      <c r="X564" s="620">
        <v>7</v>
      </c>
      <c r="Y564" s="848" t="s">
        <v>413</v>
      </c>
      <c r="Z564" s="831"/>
      <c r="AA564" s="861"/>
      <c r="AB564" s="802"/>
      <c r="AC564" s="939" t="s">
        <v>413</v>
      </c>
      <c r="AD564" s="826" t="s">
        <v>413</v>
      </c>
      <c r="AE564" s="826"/>
      <c r="AF564" s="802"/>
    </row>
    <row r="565" spans="1:32" ht="14.25">
      <c r="A565" s="154">
        <v>9011</v>
      </c>
      <c r="B565" s="992"/>
      <c r="C565" s="992" t="s">
        <v>1023</v>
      </c>
      <c r="D565" s="510">
        <v>137</v>
      </c>
      <c r="E565" s="504">
        <v>6800</v>
      </c>
      <c r="F565" s="509">
        <v>48</v>
      </c>
      <c r="G565" s="1068">
        <v>35</v>
      </c>
      <c r="H565" s="511">
        <v>32</v>
      </c>
      <c r="I565" s="511">
        <v>40</v>
      </c>
      <c r="J565" s="766">
        <v>50</v>
      </c>
      <c r="K565" s="145" t="s">
        <v>347</v>
      </c>
      <c r="L565" s="492">
        <v>10</v>
      </c>
      <c r="M565" s="782">
        <v>1200</v>
      </c>
      <c r="N565" s="500">
        <v>0.25</v>
      </c>
      <c r="O565" s="788">
        <v>3.15</v>
      </c>
      <c r="P565" s="492">
        <v>9</v>
      </c>
      <c r="Q565" s="507">
        <v>0.25</v>
      </c>
      <c r="R565" s="201">
        <v>3501.5</v>
      </c>
      <c r="S565" s="201">
        <v>434</v>
      </c>
      <c r="T565" s="1277">
        <v>696.6</v>
      </c>
      <c r="U565" s="534">
        <v>335.7916666666667</v>
      </c>
      <c r="V565" s="511">
        <v>17.85</v>
      </c>
      <c r="W565" s="506"/>
      <c r="X565" s="511">
        <v>7</v>
      </c>
      <c r="Y565" s="848">
        <v>17.85</v>
      </c>
      <c r="Z565" s="831">
        <v>47.895474000000014</v>
      </c>
      <c r="AA565" s="861">
        <v>34.96020000000001</v>
      </c>
      <c r="AB565" s="826"/>
      <c r="AC565" s="939">
        <v>13.6</v>
      </c>
      <c r="AD565" s="826" t="s">
        <v>484</v>
      </c>
      <c r="AE565" s="826">
        <v>0</v>
      </c>
      <c r="AF565" s="804">
        <v>9011</v>
      </c>
    </row>
    <row r="566" spans="1:32" ht="14.25">
      <c r="A566" s="990">
        <v>9012</v>
      </c>
      <c r="B566" s="991"/>
      <c r="C566" s="991" t="s">
        <v>730</v>
      </c>
      <c r="D566" s="1040">
        <v>180</v>
      </c>
      <c r="E566" s="1028">
        <v>11500</v>
      </c>
      <c r="F566" s="1041">
        <v>50</v>
      </c>
      <c r="G566" s="1067">
        <v>28</v>
      </c>
      <c r="H566" s="620">
        <v>25</v>
      </c>
      <c r="I566" s="620">
        <v>33</v>
      </c>
      <c r="J566" s="1043">
        <v>80</v>
      </c>
      <c r="K566" s="1032" t="s">
        <v>347</v>
      </c>
      <c r="L566" s="1251">
        <v>10</v>
      </c>
      <c r="M566" s="1252">
        <v>2000</v>
      </c>
      <c r="N566" s="1264">
        <v>0.25</v>
      </c>
      <c r="O566" s="815">
        <v>1.85</v>
      </c>
      <c r="P566" s="812">
        <v>14</v>
      </c>
      <c r="Q566" s="507"/>
      <c r="R566" s="201" t="s">
        <v>413</v>
      </c>
      <c r="S566" s="201"/>
      <c r="T566" s="1278">
        <v>1170.75</v>
      </c>
      <c r="U566" s="534"/>
      <c r="V566" s="620">
        <v>10.637500000000001</v>
      </c>
      <c r="W566" s="613"/>
      <c r="X566" s="511"/>
      <c r="Y566" s="846">
        <v>10.637500000000001</v>
      </c>
      <c r="Z566" s="828">
        <v>50.03831250000001</v>
      </c>
      <c r="AA566" s="838">
        <v>27.799062500000005</v>
      </c>
      <c r="AB566" s="830"/>
      <c r="AC566" s="940">
        <v>23</v>
      </c>
      <c r="AD566" s="830" t="s">
        <v>484</v>
      </c>
      <c r="AE566" s="830">
        <v>0</v>
      </c>
      <c r="AF566" s="803">
        <v>9012</v>
      </c>
    </row>
    <row r="567" spans="1:32" ht="14.25">
      <c r="A567" s="154">
        <v>9013</v>
      </c>
      <c r="B567" s="992"/>
      <c r="C567" s="992" t="s">
        <v>731</v>
      </c>
      <c r="D567" s="510">
        <v>200</v>
      </c>
      <c r="E567" s="504">
        <v>16000</v>
      </c>
      <c r="F567" s="509">
        <v>60</v>
      </c>
      <c r="G567" s="1068">
        <v>30</v>
      </c>
      <c r="H567" s="511">
        <v>26</v>
      </c>
      <c r="I567" s="511">
        <v>37</v>
      </c>
      <c r="J567" s="766">
        <v>100</v>
      </c>
      <c r="K567" s="145" t="s">
        <v>347</v>
      </c>
      <c r="L567" s="492">
        <v>10</v>
      </c>
      <c r="M567" s="782">
        <v>1200</v>
      </c>
      <c r="N567" s="500">
        <v>0.1</v>
      </c>
      <c r="O567" s="788">
        <v>0.7</v>
      </c>
      <c r="P567" s="492">
        <v>17</v>
      </c>
      <c r="Q567" s="603"/>
      <c r="R567" s="605" t="s">
        <v>413</v>
      </c>
      <c r="S567" s="606"/>
      <c r="T567" s="1277">
        <v>1830</v>
      </c>
      <c r="U567" s="604"/>
      <c r="V567" s="511">
        <v>9.333333333333334</v>
      </c>
      <c r="W567" s="506"/>
      <c r="X567" s="604"/>
      <c r="Y567" s="848">
        <v>9.333333333333334</v>
      </c>
      <c r="Z567" s="831">
        <v>60.79333333333334</v>
      </c>
      <c r="AA567" s="861">
        <v>30.39666666666667</v>
      </c>
      <c r="AB567" s="826"/>
      <c r="AC567" s="939">
        <v>32</v>
      </c>
      <c r="AD567" s="826" t="s">
        <v>484</v>
      </c>
      <c r="AE567" s="826">
        <v>0</v>
      </c>
      <c r="AF567" s="804">
        <v>9013</v>
      </c>
    </row>
    <row r="568" spans="1:32" ht="14.25">
      <c r="A568" s="990">
        <v>9014</v>
      </c>
      <c r="B568" s="991"/>
      <c r="C568" s="991" t="s">
        <v>732</v>
      </c>
      <c r="D568" s="1040">
        <v>130</v>
      </c>
      <c r="E568" s="1028">
        <v>9400</v>
      </c>
      <c r="F568" s="1041">
        <v>38</v>
      </c>
      <c r="G568" s="1067">
        <v>29</v>
      </c>
      <c r="H568" s="620">
        <v>25</v>
      </c>
      <c r="I568" s="620">
        <v>36</v>
      </c>
      <c r="J568" s="1043">
        <v>60</v>
      </c>
      <c r="K568" s="1032" t="s">
        <v>347</v>
      </c>
      <c r="L568" s="1251">
        <v>10</v>
      </c>
      <c r="M568" s="1043">
        <v>800</v>
      </c>
      <c r="N568" s="1264">
        <v>0.1</v>
      </c>
      <c r="O568" s="815">
        <v>0.65</v>
      </c>
      <c r="P568" s="812">
        <v>21</v>
      </c>
      <c r="Q568" s="507"/>
      <c r="R568" s="201" t="s">
        <v>413</v>
      </c>
      <c r="S568" s="201"/>
      <c r="T568" s="1278">
        <v>1141.1999999999998</v>
      </c>
      <c r="U568" s="511"/>
      <c r="V568" s="620">
        <v>7.6375</v>
      </c>
      <c r="W568" s="613"/>
      <c r="X568" s="511"/>
      <c r="Y568" s="846">
        <v>7.6375</v>
      </c>
      <c r="Z568" s="828">
        <v>38.120225</v>
      </c>
      <c r="AA568" s="838">
        <v>29.323249999999998</v>
      </c>
      <c r="AB568" s="830"/>
      <c r="AC568" s="940">
        <v>18.8</v>
      </c>
      <c r="AD568" s="830" t="s">
        <v>484</v>
      </c>
      <c r="AE568" s="830">
        <v>0</v>
      </c>
      <c r="AF568" s="803">
        <v>9014</v>
      </c>
    </row>
    <row r="569" spans="1:32" ht="14.25">
      <c r="A569" s="154">
        <v>9015</v>
      </c>
      <c r="B569" s="992"/>
      <c r="C569" s="992" t="s">
        <v>733</v>
      </c>
      <c r="D569" s="510">
        <v>172</v>
      </c>
      <c r="E569" s="504">
        <v>13000</v>
      </c>
      <c r="F569" s="509">
        <v>48</v>
      </c>
      <c r="G569" s="1068">
        <v>28</v>
      </c>
      <c r="H569" s="511">
        <v>24</v>
      </c>
      <c r="I569" s="511">
        <v>35</v>
      </c>
      <c r="J569" s="766">
        <v>85</v>
      </c>
      <c r="K569" s="145" t="s">
        <v>347</v>
      </c>
      <c r="L569" s="492">
        <v>10</v>
      </c>
      <c r="M569" s="782">
        <v>1200</v>
      </c>
      <c r="N569" s="500">
        <v>0.1</v>
      </c>
      <c r="O569" s="788">
        <v>0.65</v>
      </c>
      <c r="P569" s="492">
        <v>26</v>
      </c>
      <c r="Q569" s="609">
        <v>1.5</v>
      </c>
      <c r="R569" s="610">
        <v>5941.4</v>
      </c>
      <c r="S569" s="610">
        <v>539</v>
      </c>
      <c r="T569" s="1277">
        <v>1560</v>
      </c>
      <c r="U569" s="620">
        <v>223.41333333333333</v>
      </c>
      <c r="V569" s="511">
        <v>7.041666666666667</v>
      </c>
      <c r="W569" s="506"/>
      <c r="X569" s="620">
        <v>42</v>
      </c>
      <c r="Y569" s="848">
        <v>7.041666666666667</v>
      </c>
      <c r="Z569" s="831">
        <v>48.046598039215695</v>
      </c>
      <c r="AA569" s="861">
        <v>27.934068627450984</v>
      </c>
      <c r="AB569" s="826"/>
      <c r="AC569" s="939">
        <v>26</v>
      </c>
      <c r="AD569" s="826" t="s">
        <v>484</v>
      </c>
      <c r="AE569" s="826">
        <v>0</v>
      </c>
      <c r="AF569" s="804">
        <v>9015</v>
      </c>
    </row>
    <row r="570" spans="1:32" ht="28.5">
      <c r="A570" s="990">
        <v>9016</v>
      </c>
      <c r="B570" s="991"/>
      <c r="C570" s="991" t="s">
        <v>1024</v>
      </c>
      <c r="D570" s="1040">
        <v>603</v>
      </c>
      <c r="E570" s="1028">
        <v>63000</v>
      </c>
      <c r="F570" s="1041">
        <v>217</v>
      </c>
      <c r="G570" s="1067">
        <v>36</v>
      </c>
      <c r="H570" s="620">
        <v>30</v>
      </c>
      <c r="I570" s="620">
        <v>45</v>
      </c>
      <c r="J570" s="1043">
        <v>300</v>
      </c>
      <c r="K570" s="1032" t="s">
        <v>347</v>
      </c>
      <c r="L570" s="1251">
        <v>10</v>
      </c>
      <c r="M570" s="1252">
        <v>4000</v>
      </c>
      <c r="N570" s="1264">
        <v>0.1</v>
      </c>
      <c r="O570" s="815">
        <v>0.45</v>
      </c>
      <c r="P570" s="812">
        <v>141</v>
      </c>
      <c r="Q570" s="507">
        <v>1</v>
      </c>
      <c r="R570" s="201">
        <v>15736</v>
      </c>
      <c r="S570" s="201">
        <v>658</v>
      </c>
      <c r="T570" s="1278">
        <v>7650</v>
      </c>
      <c r="U570" s="511">
        <v>239.62857142857143</v>
      </c>
      <c r="V570" s="620">
        <v>7.0875</v>
      </c>
      <c r="W570" s="613"/>
      <c r="X570" s="511">
        <v>28</v>
      </c>
      <c r="Y570" s="846">
        <v>7.0875</v>
      </c>
      <c r="Z570" s="828">
        <v>216.15288750000002</v>
      </c>
      <c r="AA570" s="838">
        <v>35.846250000000005</v>
      </c>
      <c r="AB570" s="830"/>
      <c r="AC570" s="940">
        <v>126</v>
      </c>
      <c r="AD570" s="830" t="s">
        <v>484</v>
      </c>
      <c r="AE570" s="830">
        <v>0</v>
      </c>
      <c r="AF570" s="803">
        <v>9016</v>
      </c>
    </row>
    <row r="571" spans="1:32" ht="14.25">
      <c r="A571" s="154">
        <v>9026</v>
      </c>
      <c r="B571" s="992"/>
      <c r="C571" s="992" t="s">
        <v>1025</v>
      </c>
      <c r="D571" s="510">
        <v>200</v>
      </c>
      <c r="E571" s="504">
        <v>24000</v>
      </c>
      <c r="F571" s="509">
        <v>86</v>
      </c>
      <c r="G571" s="1068">
        <v>43</v>
      </c>
      <c r="H571" s="511">
        <v>37</v>
      </c>
      <c r="I571" s="511">
        <v>53</v>
      </c>
      <c r="J571" s="766">
        <v>100</v>
      </c>
      <c r="K571" s="145" t="s">
        <v>347</v>
      </c>
      <c r="L571" s="492">
        <v>10</v>
      </c>
      <c r="M571" s="782">
        <v>1200</v>
      </c>
      <c r="N571" s="500">
        <v>0.1</v>
      </c>
      <c r="O571" s="788">
        <v>0.6</v>
      </c>
      <c r="P571" s="492">
        <v>17</v>
      </c>
      <c r="Q571" s="609">
        <v>0.333</v>
      </c>
      <c r="R571" s="610">
        <v>10003.6</v>
      </c>
      <c r="S571" s="610">
        <v>364</v>
      </c>
      <c r="T571" s="1277">
        <v>2694</v>
      </c>
      <c r="U571" s="620">
        <v>133.07</v>
      </c>
      <c r="V571" s="511">
        <v>12</v>
      </c>
      <c r="W571" s="506"/>
      <c r="X571" s="620">
        <v>9.324</v>
      </c>
      <c r="Y571" s="848">
        <v>12</v>
      </c>
      <c r="Z571" s="831">
        <v>85.668</v>
      </c>
      <c r="AA571" s="861">
        <v>42.834</v>
      </c>
      <c r="AB571" s="826"/>
      <c r="AC571" s="939">
        <v>48</v>
      </c>
      <c r="AD571" s="826" t="s">
        <v>484</v>
      </c>
      <c r="AE571" s="826">
        <v>0</v>
      </c>
      <c r="AF571" s="804">
        <v>9026</v>
      </c>
    </row>
    <row r="572" spans="1:32" ht="14.25">
      <c r="A572" s="994">
        <v>9017</v>
      </c>
      <c r="B572" s="1000"/>
      <c r="C572" s="1000" t="s">
        <v>734</v>
      </c>
      <c r="D572" s="1069">
        <v>130</v>
      </c>
      <c r="E572" s="1070">
        <v>12500</v>
      </c>
      <c r="F572" s="1156">
        <v>49</v>
      </c>
      <c r="G572" s="1157">
        <v>38</v>
      </c>
      <c r="H572" s="1138">
        <v>33</v>
      </c>
      <c r="I572" s="1138">
        <v>47</v>
      </c>
      <c r="J572" s="1158">
        <v>60</v>
      </c>
      <c r="K572" s="1075" t="s">
        <v>347</v>
      </c>
      <c r="L572" s="1254">
        <v>10</v>
      </c>
      <c r="M572" s="1158">
        <v>800</v>
      </c>
      <c r="N572" s="1266">
        <v>0.1</v>
      </c>
      <c r="O572" s="815">
        <v>0.65</v>
      </c>
      <c r="P572" s="812">
        <v>22</v>
      </c>
      <c r="Q572" s="507">
        <v>0.333</v>
      </c>
      <c r="R572" s="201">
        <v>18883.2</v>
      </c>
      <c r="S572" s="201">
        <v>826</v>
      </c>
      <c r="T572" s="1281">
        <v>1482</v>
      </c>
      <c r="U572" s="511">
        <v>251.815</v>
      </c>
      <c r="V572" s="1138">
        <v>10.15625</v>
      </c>
      <c r="W572" s="1073"/>
      <c r="X572" s="511">
        <v>9.324</v>
      </c>
      <c r="Y572" s="846">
        <v>10.15625</v>
      </c>
      <c r="Z572" s="828">
        <v>49.84443750000001</v>
      </c>
      <c r="AA572" s="838">
        <v>38.34187500000001</v>
      </c>
      <c r="AB572" s="830"/>
      <c r="AC572" s="940">
        <v>25</v>
      </c>
      <c r="AD572" s="830" t="s">
        <v>484</v>
      </c>
      <c r="AE572" s="830">
        <v>0</v>
      </c>
      <c r="AF572" s="803">
        <v>9017</v>
      </c>
    </row>
    <row r="573" spans="1:32" ht="14.25">
      <c r="A573" s="154">
        <v>9018</v>
      </c>
      <c r="B573" s="992"/>
      <c r="C573" s="992" t="s">
        <v>735</v>
      </c>
      <c r="D573" s="510">
        <v>172</v>
      </c>
      <c r="E573" s="504">
        <v>18000</v>
      </c>
      <c r="F573" s="509">
        <v>67</v>
      </c>
      <c r="G573" s="1068">
        <v>39</v>
      </c>
      <c r="H573" s="511">
        <v>34</v>
      </c>
      <c r="I573" s="511">
        <v>48</v>
      </c>
      <c r="J573" s="766">
        <v>90</v>
      </c>
      <c r="K573" s="145" t="s">
        <v>347</v>
      </c>
      <c r="L573" s="492">
        <v>10</v>
      </c>
      <c r="M573" s="782">
        <v>1200</v>
      </c>
      <c r="N573" s="500">
        <v>0.1</v>
      </c>
      <c r="O573" s="788">
        <v>0.75</v>
      </c>
      <c r="P573" s="492">
        <v>43</v>
      </c>
      <c r="Q573" s="609">
        <v>0.5</v>
      </c>
      <c r="R573" s="610">
        <v>71261.6</v>
      </c>
      <c r="S573" s="610">
        <v>1659</v>
      </c>
      <c r="T573" s="1277">
        <v>2202</v>
      </c>
      <c r="U573" s="620">
        <v>373.44300000000004</v>
      </c>
      <c r="V573" s="511">
        <v>11.25</v>
      </c>
      <c r="W573" s="506"/>
      <c r="X573" s="620">
        <v>14</v>
      </c>
      <c r="Y573" s="848">
        <v>11.25</v>
      </c>
      <c r="Z573" s="831">
        <v>67.57593333333335</v>
      </c>
      <c r="AA573" s="861">
        <v>39.28833333333334</v>
      </c>
      <c r="AB573" s="826"/>
      <c r="AC573" s="939">
        <v>36</v>
      </c>
      <c r="AD573" s="826" t="s">
        <v>484</v>
      </c>
      <c r="AE573" s="826">
        <v>0</v>
      </c>
      <c r="AF573" s="804">
        <v>9018</v>
      </c>
    </row>
    <row r="574" spans="1:32" ht="14.25">
      <c r="A574" s="994">
        <v>9019</v>
      </c>
      <c r="B574" s="1000"/>
      <c r="C574" s="1000" t="s">
        <v>736</v>
      </c>
      <c r="D574" s="1069">
        <v>201</v>
      </c>
      <c r="E574" s="1070">
        <v>35000</v>
      </c>
      <c r="F574" s="1156">
        <v>113</v>
      </c>
      <c r="G574" s="1157">
        <v>56</v>
      </c>
      <c r="H574" s="1138">
        <v>47</v>
      </c>
      <c r="I574" s="1138">
        <v>71</v>
      </c>
      <c r="J574" s="1158">
        <v>100</v>
      </c>
      <c r="K574" s="1075" t="s">
        <v>347</v>
      </c>
      <c r="L574" s="1254">
        <v>10</v>
      </c>
      <c r="M574" s="1259">
        <v>1500</v>
      </c>
      <c r="N574" s="1266">
        <v>0.1</v>
      </c>
      <c r="O574" s="815">
        <v>0.45</v>
      </c>
      <c r="P574" s="812">
        <v>46</v>
      </c>
      <c r="Q574" s="507">
        <v>0.5</v>
      </c>
      <c r="R574" s="201">
        <v>6818</v>
      </c>
      <c r="S574" s="201">
        <v>504</v>
      </c>
      <c r="T574" s="1281">
        <v>4056</v>
      </c>
      <c r="U574" s="511">
        <v>630.1666666666666</v>
      </c>
      <c r="V574" s="1138">
        <v>10.5</v>
      </c>
      <c r="W574" s="1073"/>
      <c r="X574" s="511">
        <v>14</v>
      </c>
      <c r="Y574" s="846">
        <v>10.5</v>
      </c>
      <c r="Z574" s="828">
        <v>112.89366</v>
      </c>
      <c r="AA574" s="838">
        <v>56.166000000000004</v>
      </c>
      <c r="AB574" s="830"/>
      <c r="AC574" s="940">
        <v>70</v>
      </c>
      <c r="AD574" s="830" t="s">
        <v>484</v>
      </c>
      <c r="AE574" s="830">
        <v>0</v>
      </c>
      <c r="AF574" s="803">
        <v>9019</v>
      </c>
    </row>
    <row r="575" spans="1:32" ht="28.5">
      <c r="A575" s="154">
        <v>9020</v>
      </c>
      <c r="B575" s="992"/>
      <c r="C575" s="992" t="s">
        <v>1026</v>
      </c>
      <c r="D575" s="510">
        <v>380</v>
      </c>
      <c r="E575" s="504">
        <v>44000</v>
      </c>
      <c r="F575" s="509">
        <v>160</v>
      </c>
      <c r="G575" s="1068">
        <v>42</v>
      </c>
      <c r="H575" s="511">
        <v>35</v>
      </c>
      <c r="I575" s="511">
        <v>52</v>
      </c>
      <c r="J575" s="766">
        <v>180</v>
      </c>
      <c r="K575" s="145" t="s">
        <v>347</v>
      </c>
      <c r="L575" s="492">
        <v>10</v>
      </c>
      <c r="M575" s="782">
        <v>2800</v>
      </c>
      <c r="N575" s="500">
        <v>0.1</v>
      </c>
      <c r="O575" s="788">
        <v>0.6</v>
      </c>
      <c r="P575" s="492">
        <v>62</v>
      </c>
      <c r="Q575" s="507"/>
      <c r="R575" s="201" t="s">
        <v>413</v>
      </c>
      <c r="S575" s="201"/>
      <c r="T575" s="1277">
        <v>5124</v>
      </c>
      <c r="U575" s="511"/>
      <c r="V575" s="511">
        <v>9.428571428571427</v>
      </c>
      <c r="W575" s="506"/>
      <c r="X575" s="511"/>
      <c r="Y575" s="848">
        <v>9.428571428571427</v>
      </c>
      <c r="Z575" s="831">
        <v>158.40209523809526</v>
      </c>
      <c r="AA575" s="861">
        <v>41.684761904761906</v>
      </c>
      <c r="AB575" s="826"/>
      <c r="AC575" s="939">
        <v>88</v>
      </c>
      <c r="AD575" s="826" t="s">
        <v>484</v>
      </c>
      <c r="AE575" s="826">
        <v>0</v>
      </c>
      <c r="AF575" s="804">
        <v>9020</v>
      </c>
    </row>
    <row r="576" spans="1:32" ht="28.5">
      <c r="A576" s="994">
        <v>9021</v>
      </c>
      <c r="B576" s="1000"/>
      <c r="C576" s="1000" t="s">
        <v>1027</v>
      </c>
      <c r="D576" s="1069">
        <v>603</v>
      </c>
      <c r="E576" s="1070">
        <v>80000</v>
      </c>
      <c r="F576" s="1156">
        <v>270</v>
      </c>
      <c r="G576" s="1157">
        <v>44</v>
      </c>
      <c r="H576" s="1138">
        <v>37</v>
      </c>
      <c r="I576" s="1138">
        <v>56</v>
      </c>
      <c r="J576" s="1158">
        <v>300</v>
      </c>
      <c r="K576" s="1075" t="s">
        <v>347</v>
      </c>
      <c r="L576" s="1254">
        <v>10</v>
      </c>
      <c r="M576" s="1259">
        <v>4000</v>
      </c>
      <c r="N576" s="1266">
        <v>0.1</v>
      </c>
      <c r="O576" s="815">
        <v>0.45</v>
      </c>
      <c r="P576" s="812">
        <v>120</v>
      </c>
      <c r="Q576" s="603"/>
      <c r="R576" s="605" t="s">
        <v>413</v>
      </c>
      <c r="S576" s="606"/>
      <c r="T576" s="1281">
        <v>9360</v>
      </c>
      <c r="U576" s="604"/>
      <c r="V576" s="1138">
        <v>9</v>
      </c>
      <c r="W576" s="1073"/>
      <c r="X576" s="604"/>
      <c r="Y576" s="846">
        <v>9</v>
      </c>
      <c r="Z576" s="828">
        <v>266.64660000000003</v>
      </c>
      <c r="AA576" s="838">
        <v>44.220000000000006</v>
      </c>
      <c r="AB576" s="830"/>
      <c r="AC576" s="940">
        <v>160</v>
      </c>
      <c r="AD576" s="830" t="s">
        <v>484</v>
      </c>
      <c r="AE576" s="830">
        <v>0</v>
      </c>
      <c r="AF576" s="803">
        <v>9021</v>
      </c>
    </row>
    <row r="577" spans="1:32" ht="14.25">
      <c r="A577" s="154">
        <v>9022</v>
      </c>
      <c r="B577" s="992"/>
      <c r="C577" s="992" t="s">
        <v>737</v>
      </c>
      <c r="D577" s="510">
        <v>120</v>
      </c>
      <c r="E577" s="504">
        <v>8300</v>
      </c>
      <c r="F577" s="509">
        <v>25</v>
      </c>
      <c r="G577" s="1068">
        <v>21</v>
      </c>
      <c r="H577" s="511">
        <v>19</v>
      </c>
      <c r="I577" s="511">
        <v>25</v>
      </c>
      <c r="J577" s="766">
        <v>80</v>
      </c>
      <c r="K577" s="145" t="s">
        <v>347</v>
      </c>
      <c r="L577" s="492">
        <v>12</v>
      </c>
      <c r="M577" s="782">
        <v>1200</v>
      </c>
      <c r="N577" s="500">
        <v>0.1</v>
      </c>
      <c r="O577" s="788">
        <v>1.2</v>
      </c>
      <c r="P577" s="492">
        <v>20</v>
      </c>
      <c r="Q577" s="507"/>
      <c r="R577" s="201" t="s">
        <v>413</v>
      </c>
      <c r="S577" s="201"/>
      <c r="T577" s="1277">
        <v>891.9000000000001</v>
      </c>
      <c r="U577" s="511"/>
      <c r="V577" s="511">
        <v>8.3</v>
      </c>
      <c r="W577" s="506"/>
      <c r="X577" s="511"/>
      <c r="Y577" s="848">
        <v>8.3</v>
      </c>
      <c r="Z577" s="831">
        <v>25.67235000000001</v>
      </c>
      <c r="AA577" s="861">
        <v>21.393625000000007</v>
      </c>
      <c r="AB577" s="826"/>
      <c r="AC577" s="939">
        <v>16.6</v>
      </c>
      <c r="AD577" s="826" t="s">
        <v>484</v>
      </c>
      <c r="AE577" s="826">
        <v>0</v>
      </c>
      <c r="AF577" s="804">
        <v>9022</v>
      </c>
    </row>
    <row r="578" spans="1:32" ht="14.25">
      <c r="A578" s="994">
        <v>9023</v>
      </c>
      <c r="B578" s="1000"/>
      <c r="C578" s="1000" t="s">
        <v>738</v>
      </c>
      <c r="D578" s="1069">
        <v>120</v>
      </c>
      <c r="E578" s="1070">
        <v>13500</v>
      </c>
      <c r="F578" s="1156">
        <v>36</v>
      </c>
      <c r="G578" s="1157">
        <v>30</v>
      </c>
      <c r="H578" s="1138">
        <v>26</v>
      </c>
      <c r="I578" s="1138">
        <v>36</v>
      </c>
      <c r="J578" s="1158">
        <v>80</v>
      </c>
      <c r="K578" s="1075" t="s">
        <v>347</v>
      </c>
      <c r="L578" s="1254">
        <v>12</v>
      </c>
      <c r="M578" s="1259">
        <v>1200</v>
      </c>
      <c r="N578" s="1266">
        <v>0.1</v>
      </c>
      <c r="O578" s="815">
        <v>0.9</v>
      </c>
      <c r="P578" s="812">
        <v>21</v>
      </c>
      <c r="Q578" s="642">
        <v>0.01</v>
      </c>
      <c r="R578" s="610">
        <v>2175</v>
      </c>
      <c r="S578" s="610">
        <v>98</v>
      </c>
      <c r="T578" s="1281">
        <v>1381.5</v>
      </c>
      <c r="U578" s="632">
        <v>3.8716666666666666</v>
      </c>
      <c r="V578" s="1138">
        <v>10.125</v>
      </c>
      <c r="W578" s="1073"/>
      <c r="X578" s="632">
        <v>0.28</v>
      </c>
      <c r="Y578" s="846">
        <v>10.125</v>
      </c>
      <c r="Z578" s="828">
        <v>36.15975</v>
      </c>
      <c r="AA578" s="838">
        <v>30.133125000000003</v>
      </c>
      <c r="AB578" s="830"/>
      <c r="AC578" s="940">
        <v>27</v>
      </c>
      <c r="AD578" s="830" t="s">
        <v>484</v>
      </c>
      <c r="AE578" s="830">
        <v>0</v>
      </c>
      <c r="AF578" s="803">
        <v>9023</v>
      </c>
    </row>
    <row r="579" spans="1:32" ht="14.25">
      <c r="A579" s="154">
        <v>9025</v>
      </c>
      <c r="B579" s="992"/>
      <c r="C579" s="992" t="s">
        <v>1464</v>
      </c>
      <c r="D579" s="510">
        <v>70</v>
      </c>
      <c r="E579" s="504">
        <v>10000</v>
      </c>
      <c r="F579" s="509">
        <v>35</v>
      </c>
      <c r="G579" s="1068">
        <v>50</v>
      </c>
      <c r="H579" s="511">
        <v>43</v>
      </c>
      <c r="I579" s="511">
        <v>62</v>
      </c>
      <c r="J579" s="766">
        <v>40</v>
      </c>
      <c r="K579" s="145" t="s">
        <v>347</v>
      </c>
      <c r="L579" s="492">
        <v>10</v>
      </c>
      <c r="M579" s="766">
        <v>600</v>
      </c>
      <c r="N579" s="500">
        <v>0.1</v>
      </c>
      <c r="O579" s="788">
        <v>0.85</v>
      </c>
      <c r="P579" s="492">
        <v>29</v>
      </c>
      <c r="Q579" s="507">
        <v>0.5</v>
      </c>
      <c r="R579" s="201">
        <v>59783</v>
      </c>
      <c r="S579" s="201">
        <v>1792</v>
      </c>
      <c r="T579" s="1277">
        <v>1254</v>
      </c>
      <c r="U579" s="506">
        <v>158.0525</v>
      </c>
      <c r="V579" s="511">
        <v>14.166666666666668</v>
      </c>
      <c r="W579" s="506"/>
      <c r="X579" s="506">
        <v>14</v>
      </c>
      <c r="Y579" s="848">
        <v>14.166666666666668</v>
      </c>
      <c r="Z579" s="831">
        <v>35.04783333333333</v>
      </c>
      <c r="AA579" s="861">
        <v>50.068333333333335</v>
      </c>
      <c r="AB579" s="826"/>
      <c r="AC579" s="939">
        <v>20</v>
      </c>
      <c r="AD579" s="826" t="s">
        <v>484</v>
      </c>
      <c r="AE579" s="826">
        <v>0</v>
      </c>
      <c r="AF579" s="804">
        <v>9025</v>
      </c>
    </row>
    <row r="580" spans="1:32" ht="14.25">
      <c r="A580" s="154"/>
      <c r="B580" s="992"/>
      <c r="C580" s="154"/>
      <c r="D580" s="208"/>
      <c r="E580" s="504"/>
      <c r="F580" s="509"/>
      <c r="G580" s="1065"/>
      <c r="H580" s="511"/>
      <c r="I580" s="511"/>
      <c r="J580" s="766"/>
      <c r="L580" s="492"/>
      <c r="M580" s="782"/>
      <c r="N580" s="500" t="s">
        <v>413</v>
      </c>
      <c r="O580" s="788" t="s">
        <v>413</v>
      </c>
      <c r="P580" s="492"/>
      <c r="Q580" s="507"/>
      <c r="R580" s="201" t="s">
        <v>413</v>
      </c>
      <c r="S580" s="201"/>
      <c r="T580" s="1277" t="s">
        <v>413</v>
      </c>
      <c r="U580" s="506"/>
      <c r="V580" s="511"/>
      <c r="W580" s="506"/>
      <c r="X580" s="506"/>
      <c r="Y580" s="848" t="s">
        <v>413</v>
      </c>
      <c r="Z580" s="831"/>
      <c r="AA580" s="896"/>
      <c r="AB580" s="826"/>
      <c r="AC580" s="939" t="s">
        <v>413</v>
      </c>
      <c r="AD580" s="826" t="s">
        <v>413</v>
      </c>
      <c r="AE580" s="826"/>
      <c r="AF580" s="804"/>
    </row>
    <row r="581" spans="1:32" ht="14.25">
      <c r="A581" s="987">
        <v>9040</v>
      </c>
      <c r="B581" s="988" t="s">
        <v>1501</v>
      </c>
      <c r="C581" s="989" t="s">
        <v>739</v>
      </c>
      <c r="D581" s="1021"/>
      <c r="E581" s="1022"/>
      <c r="F581" s="1023"/>
      <c r="G581" s="1024"/>
      <c r="H581" s="1025"/>
      <c r="I581" s="1025"/>
      <c r="J581" s="1026"/>
      <c r="K581" s="1026"/>
      <c r="L581" s="1021"/>
      <c r="M581" s="1026"/>
      <c r="N581" s="1263" t="s">
        <v>413</v>
      </c>
      <c r="O581" s="816" t="s">
        <v>413</v>
      </c>
      <c r="P581" s="809"/>
      <c r="Q581" s="626"/>
      <c r="R581" s="627" t="s">
        <v>413</v>
      </c>
      <c r="S581" s="627"/>
      <c r="T581" s="1276" t="s">
        <v>413</v>
      </c>
      <c r="U581" s="625"/>
      <c r="V581" s="1025"/>
      <c r="W581" s="1025"/>
      <c r="X581" s="625"/>
      <c r="Y581" s="874" t="s">
        <v>413</v>
      </c>
      <c r="Z581" s="820"/>
      <c r="AA581" s="821"/>
      <c r="AB581" s="822"/>
      <c r="AC581" s="938" t="s">
        <v>413</v>
      </c>
      <c r="AD581" s="822" t="s">
        <v>413</v>
      </c>
      <c r="AE581" s="822"/>
      <c r="AF581" s="801">
        <v>9040</v>
      </c>
    </row>
    <row r="582" spans="1:32" ht="14.25">
      <c r="A582" s="496"/>
      <c r="B582" s="761"/>
      <c r="C582" s="496"/>
      <c r="D582" s="510"/>
      <c r="E582" s="504"/>
      <c r="F582" s="509"/>
      <c r="G582" s="1065"/>
      <c r="H582" s="511"/>
      <c r="I582" s="511"/>
      <c r="J582" s="766"/>
      <c r="K582" s="495"/>
      <c r="L582" s="496"/>
      <c r="M582" s="782"/>
      <c r="N582" s="500" t="s">
        <v>413</v>
      </c>
      <c r="O582" s="788" t="s">
        <v>413</v>
      </c>
      <c r="P582" s="810"/>
      <c r="Q582" s="507"/>
      <c r="R582" s="201" t="s">
        <v>413</v>
      </c>
      <c r="S582" s="201"/>
      <c r="T582" s="1277" t="s">
        <v>413</v>
      </c>
      <c r="U582" s="511"/>
      <c r="V582" s="511"/>
      <c r="W582" s="506"/>
      <c r="X582" s="511"/>
      <c r="Y582" s="848" t="s">
        <v>413</v>
      </c>
      <c r="Z582" s="831"/>
      <c r="AA582" s="861"/>
      <c r="AB582" s="802"/>
      <c r="AC582" s="939" t="s">
        <v>413</v>
      </c>
      <c r="AD582" s="826" t="s">
        <v>413</v>
      </c>
      <c r="AE582" s="826"/>
      <c r="AF582" s="802"/>
    </row>
    <row r="583" spans="1:32" ht="14.25">
      <c r="A583" s="990">
        <v>9041</v>
      </c>
      <c r="B583" s="991" t="s">
        <v>1501</v>
      </c>
      <c r="C583" s="991" t="s">
        <v>740</v>
      </c>
      <c r="D583" s="1040">
        <v>280</v>
      </c>
      <c r="E583" s="1028">
        <v>9200</v>
      </c>
      <c r="F583" s="1041">
        <v>42</v>
      </c>
      <c r="G583" s="1067">
        <v>15</v>
      </c>
      <c r="H583" s="620"/>
      <c r="I583" s="620">
        <v>18</v>
      </c>
      <c r="J583" s="1043">
        <v>120</v>
      </c>
      <c r="K583" s="1032" t="s">
        <v>347</v>
      </c>
      <c r="L583" s="1251">
        <v>12</v>
      </c>
      <c r="M583" s="1252">
        <v>1600</v>
      </c>
      <c r="N583" s="1264">
        <v>0</v>
      </c>
      <c r="O583" s="815">
        <v>0.7</v>
      </c>
      <c r="P583" s="812">
        <v>32</v>
      </c>
      <c r="Q583" s="603"/>
      <c r="R583" s="605" t="s">
        <v>413</v>
      </c>
      <c r="S583" s="606"/>
      <c r="T583" s="1278">
        <v>1115.0666666666666</v>
      </c>
      <c r="U583" s="604"/>
      <c r="V583" s="620">
        <v>4.0249999999999995</v>
      </c>
      <c r="W583" s="613"/>
      <c r="X583" s="604"/>
      <c r="Y583" s="846">
        <v>4.0249999999999995</v>
      </c>
      <c r="Z583" s="828">
        <v>41.017044444444444</v>
      </c>
      <c r="AA583" s="838">
        <v>14.648944444444444</v>
      </c>
      <c r="AB583" s="830"/>
      <c r="AC583" s="940">
        <v>18.400000000000002</v>
      </c>
      <c r="AD583" s="830" t="s">
        <v>484</v>
      </c>
      <c r="AE583" s="830">
        <v>0</v>
      </c>
      <c r="AF583" s="803">
        <v>9041</v>
      </c>
    </row>
    <row r="584" spans="1:32" ht="14.25">
      <c r="A584" s="154">
        <v>9042</v>
      </c>
      <c r="B584" s="992" t="s">
        <v>1501</v>
      </c>
      <c r="C584" s="992" t="s">
        <v>741</v>
      </c>
      <c r="D584" s="510">
        <v>376</v>
      </c>
      <c r="E584" s="504">
        <v>11500</v>
      </c>
      <c r="F584" s="509">
        <v>53</v>
      </c>
      <c r="G584" s="1068">
        <v>14</v>
      </c>
      <c r="H584" s="511"/>
      <c r="I584" s="511">
        <v>17</v>
      </c>
      <c r="J584" s="766">
        <v>160</v>
      </c>
      <c r="K584" s="145" t="s">
        <v>347</v>
      </c>
      <c r="L584" s="492">
        <v>12</v>
      </c>
      <c r="M584" s="782">
        <v>2100</v>
      </c>
      <c r="N584" s="500">
        <v>0</v>
      </c>
      <c r="O584" s="788">
        <v>0.65</v>
      </c>
      <c r="P584" s="492">
        <v>43</v>
      </c>
      <c r="Q584" s="507"/>
      <c r="R584" s="201" t="s">
        <v>413</v>
      </c>
      <c r="S584" s="201"/>
      <c r="T584" s="1277">
        <v>1411.8333333333335</v>
      </c>
      <c r="U584" s="511"/>
      <c r="V584" s="511">
        <v>3.5595238095238098</v>
      </c>
      <c r="W584" s="506"/>
      <c r="X584" s="511"/>
      <c r="Y584" s="848">
        <v>3.5595238095238098</v>
      </c>
      <c r="Z584" s="831">
        <v>51.21808214285715</v>
      </c>
      <c r="AA584" s="861">
        <v>13.621830357142859</v>
      </c>
      <c r="AB584" s="826"/>
      <c r="AC584" s="939">
        <v>23</v>
      </c>
      <c r="AD584" s="826" t="s">
        <v>484</v>
      </c>
      <c r="AE584" s="826">
        <v>0</v>
      </c>
      <c r="AF584" s="804">
        <v>9042</v>
      </c>
    </row>
    <row r="585" spans="1:32" ht="14.25">
      <c r="A585" s="990">
        <v>9043</v>
      </c>
      <c r="B585" s="991" t="s">
        <v>1501</v>
      </c>
      <c r="C585" s="991" t="s">
        <v>742</v>
      </c>
      <c r="D585" s="1040">
        <v>469</v>
      </c>
      <c r="E585" s="1028">
        <v>17000</v>
      </c>
      <c r="F585" s="1041">
        <v>70</v>
      </c>
      <c r="G585" s="1067">
        <v>15</v>
      </c>
      <c r="H585" s="620"/>
      <c r="I585" s="620">
        <v>19</v>
      </c>
      <c r="J585" s="1043">
        <v>200</v>
      </c>
      <c r="K585" s="1032" t="s">
        <v>347</v>
      </c>
      <c r="L585" s="1251">
        <v>12</v>
      </c>
      <c r="M585" s="1252">
        <v>2600</v>
      </c>
      <c r="N585" s="1264">
        <v>0</v>
      </c>
      <c r="O585" s="815">
        <v>0.6</v>
      </c>
      <c r="P585" s="812">
        <v>47</v>
      </c>
      <c r="Q585" s="609">
        <v>0.5</v>
      </c>
      <c r="R585" s="610">
        <v>736.3</v>
      </c>
      <c r="S585" s="610">
        <v>98</v>
      </c>
      <c r="T585" s="1278">
        <v>1987.6666666666667</v>
      </c>
      <c r="U585" s="620">
        <v>28.30333333333333</v>
      </c>
      <c r="V585" s="620">
        <v>3.923076923076923</v>
      </c>
      <c r="W585" s="613"/>
      <c r="X585" s="620">
        <v>14</v>
      </c>
      <c r="Y585" s="846">
        <v>3.923076923076923</v>
      </c>
      <c r="Z585" s="828">
        <v>71.51101551282053</v>
      </c>
      <c r="AA585" s="838">
        <v>15.247551282051285</v>
      </c>
      <c r="AB585" s="830"/>
      <c r="AC585" s="940">
        <v>34</v>
      </c>
      <c r="AD585" s="830" t="s">
        <v>484</v>
      </c>
      <c r="AE585" s="830">
        <v>0</v>
      </c>
      <c r="AF585" s="803">
        <v>9043</v>
      </c>
    </row>
    <row r="586" spans="1:32" ht="14.25">
      <c r="A586" s="154">
        <v>9044</v>
      </c>
      <c r="B586" s="992" t="s">
        <v>1501</v>
      </c>
      <c r="C586" s="992" t="s">
        <v>743</v>
      </c>
      <c r="D586" s="510">
        <v>535</v>
      </c>
      <c r="E586" s="504">
        <v>22000</v>
      </c>
      <c r="F586" s="509">
        <v>86</v>
      </c>
      <c r="G586" s="1068">
        <v>16</v>
      </c>
      <c r="H586" s="511"/>
      <c r="I586" s="511">
        <v>20</v>
      </c>
      <c r="J586" s="766">
        <v>240</v>
      </c>
      <c r="K586" s="145" t="s">
        <v>347</v>
      </c>
      <c r="L586" s="492">
        <v>12</v>
      </c>
      <c r="M586" s="782">
        <v>3000</v>
      </c>
      <c r="N586" s="500">
        <v>0</v>
      </c>
      <c r="O586" s="788">
        <v>0.55</v>
      </c>
      <c r="P586" s="492">
        <v>50</v>
      </c>
      <c r="Q586" s="507">
        <v>0.05</v>
      </c>
      <c r="R586" s="201">
        <v>1258.88</v>
      </c>
      <c r="S586" s="201">
        <v>91</v>
      </c>
      <c r="T586" s="1277">
        <v>2507.333333333333</v>
      </c>
      <c r="U586" s="511">
        <v>19.604000000000003</v>
      </c>
      <c r="V586" s="511">
        <v>4.033333333333333</v>
      </c>
      <c r="W586" s="506"/>
      <c r="X586" s="511">
        <v>1.4000000000000001</v>
      </c>
      <c r="Y586" s="848">
        <v>4.033333333333333</v>
      </c>
      <c r="Z586" s="831">
        <v>85.21806944444444</v>
      </c>
      <c r="AA586" s="861">
        <v>15.928611111111111</v>
      </c>
      <c r="AB586" s="826">
        <v>8</v>
      </c>
      <c r="AC586" s="939">
        <v>44</v>
      </c>
      <c r="AD586" s="826" t="s">
        <v>484</v>
      </c>
      <c r="AE586" s="826">
        <v>0</v>
      </c>
      <c r="AF586" s="804">
        <v>9044</v>
      </c>
    </row>
    <row r="587" spans="1:32" ht="14.25">
      <c r="A587" s="1008">
        <v>9045</v>
      </c>
      <c r="B587" s="991" t="s">
        <v>1501</v>
      </c>
      <c r="C587" s="993" t="s">
        <v>744</v>
      </c>
      <c r="D587" s="1040">
        <v>674</v>
      </c>
      <c r="E587" s="1028">
        <v>31000</v>
      </c>
      <c r="F587" s="1041">
        <v>121</v>
      </c>
      <c r="G587" s="1067">
        <v>18</v>
      </c>
      <c r="H587" s="620"/>
      <c r="I587" s="620">
        <v>22</v>
      </c>
      <c r="J587" s="1043">
        <v>300</v>
      </c>
      <c r="K587" s="1032" t="s">
        <v>347</v>
      </c>
      <c r="L587" s="1251">
        <v>12</v>
      </c>
      <c r="M587" s="1252">
        <v>3600</v>
      </c>
      <c r="N587" s="1264">
        <v>0</v>
      </c>
      <c r="O587" s="815">
        <v>0.55</v>
      </c>
      <c r="P587" s="812">
        <v>57</v>
      </c>
      <c r="Q587" s="609">
        <v>0.1</v>
      </c>
      <c r="R587" s="610">
        <v>661.2</v>
      </c>
      <c r="S587" s="610">
        <v>105</v>
      </c>
      <c r="T587" s="1278">
        <v>3452.3333333333335</v>
      </c>
      <c r="U587" s="620">
        <v>11.162857142857144</v>
      </c>
      <c r="V587" s="620">
        <v>4.736111111111112</v>
      </c>
      <c r="W587" s="613"/>
      <c r="X587" s="620">
        <v>2.8000000000000003</v>
      </c>
      <c r="Y587" s="846">
        <v>4.736111111111112</v>
      </c>
      <c r="Z587" s="828">
        <v>120.43219222222224</v>
      </c>
      <c r="AA587" s="838">
        <v>17.86827777777778</v>
      </c>
      <c r="AB587" s="830">
        <v>10</v>
      </c>
      <c r="AC587" s="940">
        <v>62</v>
      </c>
      <c r="AD587" s="830" t="s">
        <v>484</v>
      </c>
      <c r="AE587" s="830">
        <v>0</v>
      </c>
      <c r="AF587" s="807">
        <v>9045</v>
      </c>
    </row>
    <row r="588" spans="1:32" ht="14.25">
      <c r="A588" s="154">
        <v>9046</v>
      </c>
      <c r="B588" s="992" t="s">
        <v>1501</v>
      </c>
      <c r="C588" s="992" t="s">
        <v>745</v>
      </c>
      <c r="D588" s="510">
        <v>100</v>
      </c>
      <c r="E588" s="504">
        <v>15500</v>
      </c>
      <c r="F588" s="509">
        <v>21</v>
      </c>
      <c r="G588" s="1068">
        <v>21</v>
      </c>
      <c r="H588" s="511">
        <v>17</v>
      </c>
      <c r="I588" s="511">
        <v>27</v>
      </c>
      <c r="J588" s="766">
        <v>100</v>
      </c>
      <c r="K588" s="145" t="s">
        <v>347</v>
      </c>
      <c r="L588" s="492">
        <v>12</v>
      </c>
      <c r="M588" s="782">
        <v>4000</v>
      </c>
      <c r="N588" s="500">
        <v>0.25</v>
      </c>
      <c r="O588" s="788">
        <v>0.7</v>
      </c>
      <c r="P588" s="492">
        <v>60</v>
      </c>
      <c r="Q588" s="507"/>
      <c r="R588" s="201" t="s">
        <v>413</v>
      </c>
      <c r="S588" s="201"/>
      <c r="T588" s="1277">
        <v>1631</v>
      </c>
      <c r="U588" s="511"/>
      <c r="V588" s="511">
        <v>2.7125</v>
      </c>
      <c r="W588" s="506"/>
      <c r="X588" s="511"/>
      <c r="Y588" s="848">
        <v>2.7125</v>
      </c>
      <c r="Z588" s="831">
        <v>20.92475</v>
      </c>
      <c r="AA588" s="861">
        <v>20.92475</v>
      </c>
      <c r="AB588" s="826"/>
      <c r="AC588" s="939">
        <v>31</v>
      </c>
      <c r="AD588" s="826" t="s">
        <v>484</v>
      </c>
      <c r="AE588" s="826">
        <v>0</v>
      </c>
      <c r="AF588" s="804">
        <v>9046</v>
      </c>
    </row>
    <row r="589" spans="1:33" ht="14.25">
      <c r="A589" s="496"/>
      <c r="B589" s="761"/>
      <c r="C589" s="496"/>
      <c r="D589" s="208"/>
      <c r="E589" s="504"/>
      <c r="F589" s="509"/>
      <c r="G589" s="1068"/>
      <c r="H589" s="511"/>
      <c r="I589" s="511"/>
      <c r="J589" s="766"/>
      <c r="K589" s="495"/>
      <c r="L589" s="496"/>
      <c r="M589" s="766"/>
      <c r="N589" s="500" t="s">
        <v>413</v>
      </c>
      <c r="O589" s="788" t="s">
        <v>413</v>
      </c>
      <c r="P589" s="810"/>
      <c r="Q589" s="603"/>
      <c r="R589" s="605" t="s">
        <v>413</v>
      </c>
      <c r="S589" s="606"/>
      <c r="T589" s="1277" t="s">
        <v>413</v>
      </c>
      <c r="U589" s="604"/>
      <c r="V589" s="511"/>
      <c r="W589" s="506"/>
      <c r="X589" s="604"/>
      <c r="Y589" s="848" t="s">
        <v>413</v>
      </c>
      <c r="Z589" s="831"/>
      <c r="AA589" s="861"/>
      <c r="AB589" s="802"/>
      <c r="AC589" s="939" t="s">
        <v>413</v>
      </c>
      <c r="AD589" s="826" t="s">
        <v>413</v>
      </c>
      <c r="AE589" s="826"/>
      <c r="AF589" s="802"/>
      <c r="AG589" s="602"/>
    </row>
    <row r="590" spans="1:33" ht="14.25">
      <c r="A590" s="987">
        <v>9060</v>
      </c>
      <c r="B590" s="988"/>
      <c r="C590" s="989" t="s">
        <v>746</v>
      </c>
      <c r="D590" s="1026"/>
      <c r="E590" s="1022"/>
      <c r="F590" s="1023"/>
      <c r="G590" s="1105"/>
      <c r="H590" s="1025"/>
      <c r="I590" s="1025"/>
      <c r="J590" s="1026"/>
      <c r="K590" s="1026"/>
      <c r="L590" s="1021"/>
      <c r="M590" s="1026"/>
      <c r="N590" s="1263" t="s">
        <v>413</v>
      </c>
      <c r="O590" s="816" t="s">
        <v>413</v>
      </c>
      <c r="P590" s="809"/>
      <c r="Q590" s="507"/>
      <c r="R590" s="201" t="s">
        <v>413</v>
      </c>
      <c r="S590" s="201"/>
      <c r="T590" s="1276" t="s">
        <v>413</v>
      </c>
      <c r="U590" s="511"/>
      <c r="V590" s="1025"/>
      <c r="W590" s="1025"/>
      <c r="X590" s="511"/>
      <c r="Y590" s="874" t="s">
        <v>413</v>
      </c>
      <c r="Z590" s="820"/>
      <c r="AA590" s="821"/>
      <c r="AB590" s="822"/>
      <c r="AC590" s="938" t="s">
        <v>413</v>
      </c>
      <c r="AD590" s="822" t="s">
        <v>413</v>
      </c>
      <c r="AE590" s="822"/>
      <c r="AF590" s="801">
        <v>9060</v>
      </c>
      <c r="AG590" s="496"/>
    </row>
    <row r="591" spans="1:33" ht="14.25">
      <c r="A591" s="496"/>
      <c r="B591" s="761"/>
      <c r="C591" s="496"/>
      <c r="D591" s="499"/>
      <c r="E591" s="504"/>
      <c r="F591" s="496"/>
      <c r="G591" s="1159"/>
      <c r="H591" s="495"/>
      <c r="I591" s="495"/>
      <c r="J591" s="499"/>
      <c r="K591" s="495"/>
      <c r="L591" s="496"/>
      <c r="M591" s="499"/>
      <c r="N591" s="500" t="s">
        <v>413</v>
      </c>
      <c r="O591" s="788" t="s">
        <v>413</v>
      </c>
      <c r="P591" s="810"/>
      <c r="Q591" s="507">
        <v>0.5</v>
      </c>
      <c r="R591" s="201">
        <v>676.6</v>
      </c>
      <c r="S591" s="201">
        <v>63</v>
      </c>
      <c r="T591" s="1277" t="s">
        <v>413</v>
      </c>
      <c r="U591" s="511">
        <v>15.064</v>
      </c>
      <c r="V591" s="496"/>
      <c r="W591" s="496"/>
      <c r="X591" s="511">
        <v>14</v>
      </c>
      <c r="Y591" s="848" t="s">
        <v>413</v>
      </c>
      <c r="Z591" s="802"/>
      <c r="AA591" s="802"/>
      <c r="AB591" s="802"/>
      <c r="AC591" s="939" t="s">
        <v>413</v>
      </c>
      <c r="AD591" s="826" t="s">
        <v>413</v>
      </c>
      <c r="AE591" s="802"/>
      <c r="AF591" s="802"/>
      <c r="AG591" s="607"/>
    </row>
    <row r="592" spans="1:33" ht="14.25">
      <c r="A592" s="990">
        <v>9061</v>
      </c>
      <c r="B592" s="991"/>
      <c r="C592" s="991" t="s">
        <v>747</v>
      </c>
      <c r="D592" s="1110">
        <v>139</v>
      </c>
      <c r="E592" s="1028">
        <v>6700</v>
      </c>
      <c r="F592" s="1041">
        <v>19</v>
      </c>
      <c r="G592" s="1067">
        <v>14</v>
      </c>
      <c r="H592" s="620">
        <v>12</v>
      </c>
      <c r="I592" s="620">
        <v>18</v>
      </c>
      <c r="J592" s="1043">
        <v>80</v>
      </c>
      <c r="K592" s="1032" t="s">
        <v>347</v>
      </c>
      <c r="L592" s="1251">
        <v>12</v>
      </c>
      <c r="M592" s="1252">
        <v>1800</v>
      </c>
      <c r="N592" s="1264">
        <v>0.25</v>
      </c>
      <c r="O592" s="815">
        <v>0.95</v>
      </c>
      <c r="P592" s="812">
        <v>33</v>
      </c>
      <c r="Q592" s="609">
        <v>0.2</v>
      </c>
      <c r="R592" s="610">
        <v>1094.5</v>
      </c>
      <c r="S592" s="610">
        <v>98</v>
      </c>
      <c r="T592" s="1278">
        <v>747.4</v>
      </c>
      <c r="U592" s="620">
        <v>15.18125</v>
      </c>
      <c r="V592" s="620">
        <v>3.536111111111111</v>
      </c>
      <c r="W592" s="613"/>
      <c r="X592" s="620">
        <v>5.6000000000000005</v>
      </c>
      <c r="Y592" s="846">
        <v>3.536111111111111</v>
      </c>
      <c r="Z592" s="828">
        <v>19.69139638888889</v>
      </c>
      <c r="AA592" s="838">
        <v>14.166472222222223</v>
      </c>
      <c r="AB592" s="830"/>
      <c r="AC592" s="940">
        <v>13.4</v>
      </c>
      <c r="AD592" s="830" t="s">
        <v>484</v>
      </c>
      <c r="AE592" s="830">
        <v>0</v>
      </c>
      <c r="AF592" s="803">
        <v>9061</v>
      </c>
      <c r="AG592" s="496"/>
    </row>
    <row r="593" spans="1:32" ht="14.25">
      <c r="A593" s="154">
        <v>9062</v>
      </c>
      <c r="B593" s="992"/>
      <c r="C593" s="992" t="s">
        <v>748</v>
      </c>
      <c r="D593" s="208">
        <v>183</v>
      </c>
      <c r="E593" s="504">
        <v>10000</v>
      </c>
      <c r="F593" s="509">
        <v>27</v>
      </c>
      <c r="G593" s="1068">
        <v>15</v>
      </c>
      <c r="H593" s="511">
        <v>13</v>
      </c>
      <c r="I593" s="511">
        <v>19</v>
      </c>
      <c r="J593" s="766">
        <v>100</v>
      </c>
      <c r="K593" s="145" t="s">
        <v>347</v>
      </c>
      <c r="L593" s="492">
        <v>12</v>
      </c>
      <c r="M593" s="782">
        <v>2400</v>
      </c>
      <c r="N593" s="500">
        <v>0.25</v>
      </c>
      <c r="O593" s="788">
        <v>0.9</v>
      </c>
      <c r="P593" s="492">
        <v>35</v>
      </c>
      <c r="Q593" s="507">
        <v>0.05</v>
      </c>
      <c r="R593" s="201">
        <v>1742.2</v>
      </c>
      <c r="S593" s="201">
        <v>119</v>
      </c>
      <c r="T593" s="1277">
        <v>1030</v>
      </c>
      <c r="U593" s="511">
        <v>18.922</v>
      </c>
      <c r="V593" s="511">
        <v>3.7500000000000004</v>
      </c>
      <c r="W593" s="506"/>
      <c r="X593" s="511">
        <v>1.4000000000000001</v>
      </c>
      <c r="Y593" s="848">
        <v>3.7500000000000004</v>
      </c>
      <c r="Z593" s="831">
        <v>28.282650000000004</v>
      </c>
      <c r="AA593" s="861">
        <v>15.455000000000002</v>
      </c>
      <c r="AB593" s="826"/>
      <c r="AC593" s="939">
        <v>20</v>
      </c>
      <c r="AD593" s="826" t="s">
        <v>484</v>
      </c>
      <c r="AE593" s="826">
        <v>0</v>
      </c>
      <c r="AF593" s="804">
        <v>9062</v>
      </c>
    </row>
    <row r="594" spans="1:32" ht="28.5">
      <c r="A594" s="990">
        <v>9063</v>
      </c>
      <c r="B594" s="991"/>
      <c r="C594" s="991" t="s">
        <v>749</v>
      </c>
      <c r="D594" s="1110">
        <v>272</v>
      </c>
      <c r="E594" s="1028">
        <v>23000</v>
      </c>
      <c r="F594" s="1041">
        <v>57</v>
      </c>
      <c r="G594" s="1067">
        <v>21</v>
      </c>
      <c r="H594" s="620">
        <v>17</v>
      </c>
      <c r="I594" s="620">
        <v>26</v>
      </c>
      <c r="J594" s="1043">
        <v>160</v>
      </c>
      <c r="K594" s="1032" t="s">
        <v>347</v>
      </c>
      <c r="L594" s="1251">
        <v>12</v>
      </c>
      <c r="M594" s="1252">
        <v>3600</v>
      </c>
      <c r="N594" s="1264">
        <v>0.25</v>
      </c>
      <c r="O594" s="815">
        <v>0.7</v>
      </c>
      <c r="P594" s="812">
        <v>66</v>
      </c>
      <c r="Q594" s="609">
        <v>0.05</v>
      </c>
      <c r="R594" s="610">
        <v>1022.84</v>
      </c>
      <c r="S594" s="610">
        <v>147</v>
      </c>
      <c r="T594" s="1278">
        <v>2282</v>
      </c>
      <c r="U594" s="620">
        <v>19.800666666666668</v>
      </c>
      <c r="V594" s="620">
        <v>4.472222222222222</v>
      </c>
      <c r="W594" s="613"/>
      <c r="X594" s="620">
        <v>1.4000000000000001</v>
      </c>
      <c r="Y594" s="846">
        <v>4.472222222222222</v>
      </c>
      <c r="Z594" s="828">
        <v>56.054288888888884</v>
      </c>
      <c r="AA594" s="838">
        <v>20.608194444444443</v>
      </c>
      <c r="AB594" s="830"/>
      <c r="AC594" s="940">
        <v>46</v>
      </c>
      <c r="AD594" s="830" t="s">
        <v>484</v>
      </c>
      <c r="AE594" s="830">
        <v>0</v>
      </c>
      <c r="AF594" s="803">
        <v>9063</v>
      </c>
    </row>
    <row r="595" spans="1:32" ht="28.5">
      <c r="A595" s="154">
        <v>9064</v>
      </c>
      <c r="B595" s="992"/>
      <c r="C595" s="992" t="s">
        <v>750</v>
      </c>
      <c r="D595" s="208">
        <v>287</v>
      </c>
      <c r="E595" s="504">
        <v>32000</v>
      </c>
      <c r="F595" s="509">
        <v>69</v>
      </c>
      <c r="G595" s="1068">
        <v>24</v>
      </c>
      <c r="H595" s="511">
        <v>20</v>
      </c>
      <c r="I595" s="511">
        <v>31</v>
      </c>
      <c r="J595" s="766">
        <v>180</v>
      </c>
      <c r="K595" s="145" t="s">
        <v>347</v>
      </c>
      <c r="L595" s="492">
        <v>12</v>
      </c>
      <c r="M595" s="782">
        <v>4500</v>
      </c>
      <c r="N595" s="500">
        <v>0.25</v>
      </c>
      <c r="O595" s="788">
        <v>0.65</v>
      </c>
      <c r="P595" s="492">
        <v>87</v>
      </c>
      <c r="Q595" s="507">
        <v>0.05</v>
      </c>
      <c r="R595" s="201">
        <v>1348.8</v>
      </c>
      <c r="S595" s="201">
        <v>182</v>
      </c>
      <c r="T595" s="1277">
        <v>3146</v>
      </c>
      <c r="U595" s="511">
        <v>18.291764705882354</v>
      </c>
      <c r="V595" s="511">
        <v>4.622222222222222</v>
      </c>
      <c r="W595" s="506"/>
      <c r="X595" s="511">
        <v>1.4000000000000001</v>
      </c>
      <c r="Y595" s="848">
        <v>4.622222222222222</v>
      </c>
      <c r="Z595" s="831">
        <v>69.7697</v>
      </c>
      <c r="AA595" s="861">
        <v>24.310000000000002</v>
      </c>
      <c r="AB595" s="826"/>
      <c r="AC595" s="939">
        <v>64</v>
      </c>
      <c r="AD595" s="826" t="s">
        <v>484</v>
      </c>
      <c r="AE595" s="826">
        <v>0</v>
      </c>
      <c r="AF595" s="804">
        <v>9064</v>
      </c>
    </row>
    <row r="596" spans="1:33" ht="14.25">
      <c r="A596" s="990">
        <v>9065</v>
      </c>
      <c r="B596" s="991"/>
      <c r="C596" s="991" t="s">
        <v>751</v>
      </c>
      <c r="D596" s="1110">
        <v>272</v>
      </c>
      <c r="E596" s="1028">
        <v>31000</v>
      </c>
      <c r="F596" s="1041">
        <v>71</v>
      </c>
      <c r="G596" s="1067">
        <v>26</v>
      </c>
      <c r="H596" s="620">
        <v>22</v>
      </c>
      <c r="I596" s="620">
        <v>33</v>
      </c>
      <c r="J596" s="1043">
        <v>160</v>
      </c>
      <c r="K596" s="1032" t="s">
        <v>347</v>
      </c>
      <c r="L596" s="1251">
        <v>12</v>
      </c>
      <c r="M596" s="1252">
        <v>3600</v>
      </c>
      <c r="N596" s="1264">
        <v>0.25</v>
      </c>
      <c r="O596" s="815">
        <v>0.65</v>
      </c>
      <c r="P596" s="812">
        <v>66</v>
      </c>
      <c r="Q596" s="609">
        <v>0.02</v>
      </c>
      <c r="R596" s="610">
        <v>7081.2</v>
      </c>
      <c r="S596" s="610">
        <v>987</v>
      </c>
      <c r="T596" s="1278">
        <v>2938</v>
      </c>
      <c r="U596" s="620">
        <v>27.314000000000004</v>
      </c>
      <c r="V596" s="620">
        <v>5.597222222222222</v>
      </c>
      <c r="W596" s="613"/>
      <c r="X596" s="620">
        <v>0.56</v>
      </c>
      <c r="Y596" s="846">
        <v>5.597222222222222</v>
      </c>
      <c r="Z596" s="828">
        <v>71.6874888888889</v>
      </c>
      <c r="AA596" s="838">
        <v>26.355694444444445</v>
      </c>
      <c r="AB596" s="830"/>
      <c r="AC596" s="940">
        <v>62</v>
      </c>
      <c r="AD596" s="830" t="s">
        <v>484</v>
      </c>
      <c r="AE596" s="830">
        <v>0</v>
      </c>
      <c r="AF596" s="803">
        <v>9065</v>
      </c>
      <c r="AG596" s="496"/>
    </row>
    <row r="597" spans="1:33" ht="14.25">
      <c r="A597" s="154">
        <v>9066</v>
      </c>
      <c r="B597" s="992"/>
      <c r="C597" s="992" t="s">
        <v>752</v>
      </c>
      <c r="D597" s="208">
        <v>250</v>
      </c>
      <c r="E597" s="504">
        <v>14500</v>
      </c>
      <c r="F597" s="509">
        <v>30</v>
      </c>
      <c r="G597" s="1068">
        <v>12</v>
      </c>
      <c r="H597" s="511">
        <v>10</v>
      </c>
      <c r="I597" s="511">
        <v>16</v>
      </c>
      <c r="J597" s="766">
        <v>180</v>
      </c>
      <c r="K597" s="145" t="s">
        <v>347</v>
      </c>
      <c r="L597" s="492">
        <v>12</v>
      </c>
      <c r="M597" s="782">
        <v>4500</v>
      </c>
      <c r="N597" s="500">
        <v>0.25</v>
      </c>
      <c r="O597" s="788">
        <v>0.7</v>
      </c>
      <c r="P597" s="492">
        <v>75</v>
      </c>
      <c r="Q597" s="507">
        <v>0.05</v>
      </c>
      <c r="R597" s="201">
        <v>2978.6</v>
      </c>
      <c r="S597" s="201">
        <v>119</v>
      </c>
      <c r="T597" s="1277">
        <v>1639</v>
      </c>
      <c r="U597" s="511">
        <v>31.506</v>
      </c>
      <c r="V597" s="511">
        <v>2.2555555555555555</v>
      </c>
      <c r="W597" s="506"/>
      <c r="X597" s="511">
        <v>1.4000000000000001</v>
      </c>
      <c r="Y597" s="848">
        <v>2.2555555555555555</v>
      </c>
      <c r="Z597" s="831">
        <v>31.24305555555556</v>
      </c>
      <c r="AA597" s="861">
        <v>12.497222222222224</v>
      </c>
      <c r="AB597" s="826"/>
      <c r="AC597" s="939">
        <v>29</v>
      </c>
      <c r="AD597" s="826" t="s">
        <v>484</v>
      </c>
      <c r="AE597" s="826">
        <v>0</v>
      </c>
      <c r="AF597" s="804">
        <v>9066</v>
      </c>
      <c r="AG597" s="607"/>
    </row>
    <row r="598" spans="1:33" ht="14.25">
      <c r="A598" s="496"/>
      <c r="B598" s="761"/>
      <c r="C598" s="496"/>
      <c r="D598" s="208"/>
      <c r="E598" s="504"/>
      <c r="F598" s="509"/>
      <c r="G598" s="1065"/>
      <c r="H598" s="511"/>
      <c r="I598" s="511"/>
      <c r="J598" s="766"/>
      <c r="K598" s="495"/>
      <c r="L598" s="496"/>
      <c r="M598" s="766"/>
      <c r="N598" s="500" t="s">
        <v>413</v>
      </c>
      <c r="O598" s="788" t="s">
        <v>413</v>
      </c>
      <c r="P598" s="810"/>
      <c r="Q598" s="507">
        <v>0.05</v>
      </c>
      <c r="R598" s="201">
        <v>1405</v>
      </c>
      <c r="S598" s="201">
        <v>154</v>
      </c>
      <c r="T598" s="1277" t="s">
        <v>413</v>
      </c>
      <c r="U598" s="511">
        <v>26.4</v>
      </c>
      <c r="V598" s="511"/>
      <c r="W598" s="506"/>
      <c r="X598" s="511">
        <v>1.4000000000000001</v>
      </c>
      <c r="Y598" s="823" t="s">
        <v>413</v>
      </c>
      <c r="Z598" s="831"/>
      <c r="AA598" s="861"/>
      <c r="AB598" s="802"/>
      <c r="AC598" s="939" t="s">
        <v>413</v>
      </c>
      <c r="AD598" s="826" t="s">
        <v>413</v>
      </c>
      <c r="AE598" s="826"/>
      <c r="AF598" s="802"/>
      <c r="AG598" s="496"/>
    </row>
    <row r="599" spans="1:32" ht="14.25">
      <c r="A599" s="987">
        <v>9080</v>
      </c>
      <c r="B599" s="988" t="s">
        <v>1501</v>
      </c>
      <c r="C599" s="989" t="s">
        <v>753</v>
      </c>
      <c r="D599" s="1026"/>
      <c r="E599" s="1022"/>
      <c r="F599" s="1023"/>
      <c r="G599" s="1024"/>
      <c r="H599" s="1025"/>
      <c r="I599" s="1025"/>
      <c r="J599" s="1026"/>
      <c r="K599" s="1026"/>
      <c r="L599" s="1021"/>
      <c r="M599" s="1026"/>
      <c r="N599" s="1263" t="s">
        <v>413</v>
      </c>
      <c r="O599" s="816" t="s">
        <v>413</v>
      </c>
      <c r="P599" s="809"/>
      <c r="Q599" s="609">
        <v>0.05</v>
      </c>
      <c r="R599" s="610">
        <v>1910.8</v>
      </c>
      <c r="S599" s="610">
        <v>301</v>
      </c>
      <c r="T599" s="1276" t="s">
        <v>413</v>
      </c>
      <c r="U599" s="620">
        <v>24.953333333333337</v>
      </c>
      <c r="V599" s="1025"/>
      <c r="W599" s="1025"/>
      <c r="X599" s="620">
        <v>1.4000000000000001</v>
      </c>
      <c r="Y599" s="833" t="s">
        <v>413</v>
      </c>
      <c r="Z599" s="820"/>
      <c r="AA599" s="821"/>
      <c r="AB599" s="822"/>
      <c r="AC599" s="938" t="s">
        <v>413</v>
      </c>
      <c r="AD599" s="822" t="s">
        <v>413</v>
      </c>
      <c r="AE599" s="822"/>
      <c r="AF599" s="801">
        <v>9080</v>
      </c>
    </row>
    <row r="600" spans="1:32" ht="14.25">
      <c r="A600" s="496"/>
      <c r="B600" s="761"/>
      <c r="C600" s="496"/>
      <c r="D600" s="499"/>
      <c r="E600" s="504"/>
      <c r="F600" s="496"/>
      <c r="G600" s="495"/>
      <c r="H600" s="495"/>
      <c r="I600" s="495"/>
      <c r="J600" s="499"/>
      <c r="K600" s="495"/>
      <c r="L600" s="496"/>
      <c r="M600" s="499"/>
      <c r="N600" s="500" t="s">
        <v>413</v>
      </c>
      <c r="O600" s="788" t="s">
        <v>413</v>
      </c>
      <c r="P600" s="810"/>
      <c r="Q600" s="507">
        <v>0.05</v>
      </c>
      <c r="R600" s="201">
        <v>3709.2</v>
      </c>
      <c r="S600" s="201">
        <v>322</v>
      </c>
      <c r="T600" s="1277" t="s">
        <v>413</v>
      </c>
      <c r="U600" s="511">
        <v>40.972</v>
      </c>
      <c r="V600" s="496"/>
      <c r="W600" s="496"/>
      <c r="X600" s="511">
        <v>1.4000000000000001</v>
      </c>
      <c r="Y600" s="823" t="s">
        <v>413</v>
      </c>
      <c r="Z600" s="802"/>
      <c r="AA600" s="802"/>
      <c r="AB600" s="802"/>
      <c r="AC600" s="939" t="s">
        <v>413</v>
      </c>
      <c r="AD600" s="826" t="s">
        <v>413</v>
      </c>
      <c r="AE600" s="802"/>
      <c r="AF600" s="802"/>
    </row>
    <row r="601" spans="1:32" ht="14.25">
      <c r="A601" s="990">
        <v>9081</v>
      </c>
      <c r="B601" s="1012" t="s">
        <v>1501</v>
      </c>
      <c r="C601" s="991" t="s">
        <v>754</v>
      </c>
      <c r="D601" s="1160">
        <v>3.3</v>
      </c>
      <c r="E601" s="1028">
        <v>33000</v>
      </c>
      <c r="F601" s="1041">
        <v>63</v>
      </c>
      <c r="G601" s="1116">
        <v>19</v>
      </c>
      <c r="H601" s="1096">
        <v>16.5</v>
      </c>
      <c r="I601" s="1096">
        <v>24</v>
      </c>
      <c r="J601" s="1117">
        <v>240</v>
      </c>
      <c r="K601" s="1032" t="s">
        <v>347</v>
      </c>
      <c r="L601" s="1251">
        <v>12</v>
      </c>
      <c r="M601" s="1117">
        <v>6000</v>
      </c>
      <c r="N601" s="1264">
        <v>0.25</v>
      </c>
      <c r="O601" s="815">
        <v>0.95</v>
      </c>
      <c r="P601" s="812">
        <v>42</v>
      </c>
      <c r="Q601" s="609">
        <v>0.05</v>
      </c>
      <c r="R601" s="610">
        <v>5058</v>
      </c>
      <c r="S601" s="610">
        <v>434</v>
      </c>
      <c r="T601" s="1278">
        <v>2958</v>
      </c>
      <c r="U601" s="620">
        <v>31.011111111111113</v>
      </c>
      <c r="V601" s="1096">
        <v>5.225</v>
      </c>
      <c r="W601" s="1096"/>
      <c r="X601" s="620">
        <v>1.4000000000000001</v>
      </c>
      <c r="Y601" s="879">
        <v>5.225</v>
      </c>
      <c r="Z601" s="828">
        <v>63.7065</v>
      </c>
      <c r="AA601" s="869">
        <v>19.305</v>
      </c>
      <c r="AB601" s="830">
        <v>14</v>
      </c>
      <c r="AC601" s="940">
        <v>66</v>
      </c>
      <c r="AD601" s="830" t="s">
        <v>485</v>
      </c>
      <c r="AE601" s="830">
        <v>0</v>
      </c>
      <c r="AF601" s="803">
        <v>9081</v>
      </c>
    </row>
    <row r="602" spans="1:32" ht="14.25">
      <c r="A602" s="154">
        <v>9082</v>
      </c>
      <c r="B602" s="1013" t="s">
        <v>1501</v>
      </c>
      <c r="C602" s="992" t="s">
        <v>1028</v>
      </c>
      <c r="D602" s="1161">
        <v>3</v>
      </c>
      <c r="E602" s="504">
        <v>39000</v>
      </c>
      <c r="F602" s="509">
        <v>102</v>
      </c>
      <c r="G602" s="1091">
        <v>34</v>
      </c>
      <c r="H602" s="1092">
        <v>28</v>
      </c>
      <c r="I602" s="1092">
        <v>42</v>
      </c>
      <c r="J602" s="1093">
        <v>150</v>
      </c>
      <c r="K602" s="145" t="s">
        <v>347</v>
      </c>
      <c r="L602" s="492">
        <v>12</v>
      </c>
      <c r="M602" s="1093">
        <v>6000</v>
      </c>
      <c r="N602" s="500">
        <v>0.25</v>
      </c>
      <c r="O602" s="788">
        <v>1.1</v>
      </c>
      <c r="P602" s="492">
        <v>53</v>
      </c>
      <c r="Q602" s="507">
        <v>0.02</v>
      </c>
      <c r="R602" s="201">
        <v>8879.6</v>
      </c>
      <c r="S602" s="201">
        <v>840</v>
      </c>
      <c r="T602" s="1277">
        <v>3516</v>
      </c>
      <c r="U602" s="511">
        <v>32.925333333333334</v>
      </c>
      <c r="V602" s="1092">
        <v>7.15</v>
      </c>
      <c r="W602" s="1092"/>
      <c r="X602" s="511">
        <v>0.56</v>
      </c>
      <c r="Y602" s="864">
        <v>7.15</v>
      </c>
      <c r="Z602" s="831">
        <v>100.94700000000003</v>
      </c>
      <c r="AA602" s="866">
        <v>33.64900000000001</v>
      </c>
      <c r="AB602" s="826">
        <v>20</v>
      </c>
      <c r="AC602" s="939">
        <v>78</v>
      </c>
      <c r="AD602" s="826" t="s">
        <v>485</v>
      </c>
      <c r="AE602" s="826">
        <v>0</v>
      </c>
      <c r="AF602" s="804">
        <v>9082</v>
      </c>
    </row>
    <row r="603" spans="1:32" ht="14.25">
      <c r="A603" s="1008">
        <v>9083</v>
      </c>
      <c r="B603" s="1012" t="s">
        <v>1501</v>
      </c>
      <c r="C603" s="991" t="s">
        <v>755</v>
      </c>
      <c r="D603" s="1160">
        <v>2.7</v>
      </c>
      <c r="E603" s="1028">
        <v>30000</v>
      </c>
      <c r="F603" s="1041">
        <v>73</v>
      </c>
      <c r="G603" s="1116">
        <v>27</v>
      </c>
      <c r="H603" s="1096">
        <v>23</v>
      </c>
      <c r="I603" s="1096">
        <v>34</v>
      </c>
      <c r="J603" s="1117">
        <v>150</v>
      </c>
      <c r="K603" s="1032" t="s">
        <v>347</v>
      </c>
      <c r="L603" s="1251">
        <v>12</v>
      </c>
      <c r="M603" s="1117">
        <v>6000</v>
      </c>
      <c r="N603" s="1264">
        <v>0.25</v>
      </c>
      <c r="O603" s="815">
        <v>1</v>
      </c>
      <c r="P603" s="812">
        <v>74</v>
      </c>
      <c r="Q603" s="609">
        <v>0.05</v>
      </c>
      <c r="R603" s="610">
        <v>730.5</v>
      </c>
      <c r="S603" s="610">
        <v>140</v>
      </c>
      <c r="T603" s="1278">
        <v>2904</v>
      </c>
      <c r="U603" s="620">
        <v>11.06875</v>
      </c>
      <c r="V603" s="1096">
        <v>5</v>
      </c>
      <c r="W603" s="1096"/>
      <c r="X603" s="620">
        <v>1.4000000000000001</v>
      </c>
      <c r="Y603" s="879">
        <v>5</v>
      </c>
      <c r="Z603" s="828">
        <v>72.34920000000001</v>
      </c>
      <c r="AA603" s="869">
        <v>26.796000000000003</v>
      </c>
      <c r="AB603" s="830">
        <v>15</v>
      </c>
      <c r="AC603" s="940">
        <v>60</v>
      </c>
      <c r="AD603" s="830" t="s">
        <v>485</v>
      </c>
      <c r="AE603" s="830">
        <v>0</v>
      </c>
      <c r="AF603" s="807">
        <v>9083</v>
      </c>
    </row>
    <row r="604" spans="1:32" ht="14.25">
      <c r="A604" s="531">
        <v>9084</v>
      </c>
      <c r="B604" s="1013" t="s">
        <v>1501</v>
      </c>
      <c r="C604" s="992" t="s">
        <v>756</v>
      </c>
      <c r="D604" s="1090">
        <v>2.5</v>
      </c>
      <c r="E604" s="504">
        <v>41000</v>
      </c>
      <c r="F604" s="509">
        <v>60</v>
      </c>
      <c r="G604" s="1091">
        <v>24</v>
      </c>
      <c r="H604" s="1092">
        <v>20</v>
      </c>
      <c r="I604" s="1092">
        <v>31</v>
      </c>
      <c r="J604" s="1093">
        <v>220</v>
      </c>
      <c r="K604" s="145" t="s">
        <v>347</v>
      </c>
      <c r="L604" s="492">
        <v>12</v>
      </c>
      <c r="M604" s="1093">
        <v>6000</v>
      </c>
      <c r="N604" s="500">
        <v>0.25</v>
      </c>
      <c r="O604" s="788">
        <v>0.55</v>
      </c>
      <c r="P604" s="492">
        <v>105</v>
      </c>
      <c r="Q604" s="507">
        <v>0.05</v>
      </c>
      <c r="R604" s="201">
        <v>1217.5</v>
      </c>
      <c r="S604" s="201">
        <v>147</v>
      </c>
      <c r="T604" s="1277">
        <v>3992</v>
      </c>
      <c r="U604" s="511">
        <v>17.36875</v>
      </c>
      <c r="V604" s="1092">
        <v>3.7583333333333333</v>
      </c>
      <c r="W604" s="1092"/>
      <c r="X604" s="511">
        <v>1.4000000000000001</v>
      </c>
      <c r="Y604" s="864">
        <v>3.7583333333333333</v>
      </c>
      <c r="Z604" s="831">
        <v>60.235416666666666</v>
      </c>
      <c r="AA604" s="866">
        <v>24.094166666666666</v>
      </c>
      <c r="AB604" s="826">
        <v>20</v>
      </c>
      <c r="AC604" s="939">
        <v>82</v>
      </c>
      <c r="AD604" s="826" t="s">
        <v>485</v>
      </c>
      <c r="AE604" s="826">
        <v>0</v>
      </c>
      <c r="AF604" s="531">
        <v>9084</v>
      </c>
    </row>
    <row r="605" spans="1:32" ht="14.25">
      <c r="A605" s="1008">
        <v>9085</v>
      </c>
      <c r="B605" s="1012" t="s">
        <v>1501</v>
      </c>
      <c r="C605" s="991" t="s">
        <v>757</v>
      </c>
      <c r="D605" s="1115">
        <v>2</v>
      </c>
      <c r="E605" s="1028">
        <v>53000</v>
      </c>
      <c r="F605" s="1041">
        <v>62</v>
      </c>
      <c r="G605" s="1116">
        <v>31</v>
      </c>
      <c r="H605" s="1096">
        <v>26</v>
      </c>
      <c r="I605" s="1096">
        <v>39</v>
      </c>
      <c r="J605" s="1117">
        <v>220</v>
      </c>
      <c r="K605" s="1032" t="s">
        <v>347</v>
      </c>
      <c r="L605" s="1251">
        <v>12</v>
      </c>
      <c r="M605" s="1117">
        <v>5000</v>
      </c>
      <c r="N605" s="1264">
        <v>0.25</v>
      </c>
      <c r="O605" s="815">
        <v>0.45</v>
      </c>
      <c r="P605" s="812">
        <v>124</v>
      </c>
      <c r="Q605" s="609">
        <v>0.05</v>
      </c>
      <c r="R605" s="610">
        <v>786.8</v>
      </c>
      <c r="S605" s="610">
        <v>203</v>
      </c>
      <c r="T605" s="1278">
        <v>5090</v>
      </c>
      <c r="U605" s="620">
        <v>25.095</v>
      </c>
      <c r="V605" s="1096">
        <v>4.77</v>
      </c>
      <c r="W605" s="1096"/>
      <c r="X605" s="620">
        <v>1.4000000000000001</v>
      </c>
      <c r="Y605" s="879">
        <v>4.77</v>
      </c>
      <c r="Z605" s="828">
        <v>61.394000000000005</v>
      </c>
      <c r="AA605" s="869">
        <v>30.697000000000003</v>
      </c>
      <c r="AB605" s="830">
        <v>25</v>
      </c>
      <c r="AC605" s="940">
        <v>106</v>
      </c>
      <c r="AD605" s="830" t="s">
        <v>485</v>
      </c>
      <c r="AE605" s="830">
        <v>0</v>
      </c>
      <c r="AF605" s="807">
        <v>9085</v>
      </c>
    </row>
    <row r="606" spans="1:32" ht="14.25">
      <c r="A606" s="531">
        <v>9086</v>
      </c>
      <c r="B606" s="1013" t="s">
        <v>1501</v>
      </c>
      <c r="C606" s="763" t="s">
        <v>758</v>
      </c>
      <c r="D606" s="1090">
        <v>1.5</v>
      </c>
      <c r="E606" s="504">
        <v>77000</v>
      </c>
      <c r="F606" s="509">
        <v>63</v>
      </c>
      <c r="G606" s="1091">
        <v>42</v>
      </c>
      <c r="H606" s="775">
        <v>35</v>
      </c>
      <c r="I606" s="1092">
        <v>54</v>
      </c>
      <c r="J606" s="1093">
        <v>220</v>
      </c>
      <c r="K606" s="145" t="s">
        <v>347</v>
      </c>
      <c r="L606" s="492">
        <v>12</v>
      </c>
      <c r="M606" s="1093">
        <v>5000</v>
      </c>
      <c r="N606" s="500">
        <v>0.25</v>
      </c>
      <c r="O606" s="788">
        <v>0.35</v>
      </c>
      <c r="P606" s="492">
        <v>139</v>
      </c>
      <c r="Q606" s="507"/>
      <c r="R606" s="201" t="s">
        <v>413</v>
      </c>
      <c r="S606" s="201"/>
      <c r="T606" s="1277">
        <v>7148</v>
      </c>
      <c r="U606" s="511"/>
      <c r="V606" s="1092">
        <v>5.39</v>
      </c>
      <c r="W606" s="1092"/>
      <c r="X606" s="511"/>
      <c r="Y606" s="864">
        <v>5.39</v>
      </c>
      <c r="Z606" s="831">
        <v>62.5035</v>
      </c>
      <c r="AA606" s="866">
        <v>41.669000000000004</v>
      </c>
      <c r="AB606" s="826">
        <v>30</v>
      </c>
      <c r="AC606" s="939">
        <v>154</v>
      </c>
      <c r="AD606" s="826" t="s">
        <v>485</v>
      </c>
      <c r="AE606" s="826">
        <v>0</v>
      </c>
      <c r="AF606" s="531">
        <v>9086</v>
      </c>
    </row>
    <row r="607" spans="1:32" ht="14.25">
      <c r="A607" s="1008">
        <v>9087</v>
      </c>
      <c r="B607" s="1012" t="s">
        <v>1501</v>
      </c>
      <c r="C607" s="993" t="s">
        <v>759</v>
      </c>
      <c r="D607" s="1115">
        <v>1.2</v>
      </c>
      <c r="E607" s="1028">
        <v>109000</v>
      </c>
      <c r="F607" s="1041">
        <v>68</v>
      </c>
      <c r="G607" s="1116">
        <v>57</v>
      </c>
      <c r="H607" s="1162">
        <v>47</v>
      </c>
      <c r="I607" s="1096">
        <v>73</v>
      </c>
      <c r="J607" s="1117">
        <v>220</v>
      </c>
      <c r="K607" s="1032" t="s">
        <v>347</v>
      </c>
      <c r="L607" s="1251">
        <v>12</v>
      </c>
      <c r="M607" s="1117">
        <v>5000</v>
      </c>
      <c r="N607" s="1264">
        <v>0.25</v>
      </c>
      <c r="O607" s="815">
        <v>0.3</v>
      </c>
      <c r="P607" s="812">
        <v>157</v>
      </c>
      <c r="Q607" s="603"/>
      <c r="R607" s="605" t="s">
        <v>413</v>
      </c>
      <c r="S607" s="606"/>
      <c r="T607" s="1278">
        <v>9880</v>
      </c>
      <c r="U607" s="604"/>
      <c r="V607" s="1096">
        <v>6.54</v>
      </c>
      <c r="W607" s="1096"/>
      <c r="X607" s="604"/>
      <c r="Y607" s="879">
        <v>6.54</v>
      </c>
      <c r="Z607" s="828">
        <v>67.9128</v>
      </c>
      <c r="AA607" s="869">
        <v>56.594</v>
      </c>
      <c r="AB607" s="830">
        <v>35</v>
      </c>
      <c r="AC607" s="940">
        <v>218</v>
      </c>
      <c r="AD607" s="830" t="s">
        <v>485</v>
      </c>
      <c r="AE607" s="830">
        <v>0</v>
      </c>
      <c r="AF607" s="807">
        <v>9087</v>
      </c>
    </row>
    <row r="608" spans="1:32" ht="14.25">
      <c r="A608" s="531">
        <v>9088</v>
      </c>
      <c r="B608" s="1013" t="s">
        <v>1501</v>
      </c>
      <c r="C608" s="763" t="s">
        <v>760</v>
      </c>
      <c r="D608" s="1090">
        <v>1</v>
      </c>
      <c r="E608" s="504">
        <v>126000</v>
      </c>
      <c r="F608" s="509">
        <v>66</v>
      </c>
      <c r="G608" s="1091">
        <v>66</v>
      </c>
      <c r="H608" s="775">
        <v>54</v>
      </c>
      <c r="I608" s="1092">
        <v>85</v>
      </c>
      <c r="J608" s="1093">
        <v>220</v>
      </c>
      <c r="K608" s="145" t="s">
        <v>347</v>
      </c>
      <c r="L608" s="492">
        <v>12</v>
      </c>
      <c r="M608" s="1093">
        <v>5000</v>
      </c>
      <c r="N608" s="500">
        <v>0.25</v>
      </c>
      <c r="O608" s="788">
        <v>0.3</v>
      </c>
      <c r="P608" s="492">
        <v>187</v>
      </c>
      <c r="Q608" s="507"/>
      <c r="R608" s="201" t="s">
        <v>413</v>
      </c>
      <c r="S608" s="201"/>
      <c r="T608" s="1277">
        <v>11454</v>
      </c>
      <c r="U608" s="511"/>
      <c r="V608" s="1092">
        <v>7.56</v>
      </c>
      <c r="W608" s="1092"/>
      <c r="X608" s="511"/>
      <c r="Y608" s="864">
        <v>7.56</v>
      </c>
      <c r="Z608" s="831">
        <v>65.58600000000001</v>
      </c>
      <c r="AA608" s="866">
        <v>65.58600000000001</v>
      </c>
      <c r="AB608" s="826">
        <v>40</v>
      </c>
      <c r="AC608" s="939">
        <v>252</v>
      </c>
      <c r="AD608" s="826" t="s">
        <v>485</v>
      </c>
      <c r="AE608" s="826">
        <v>0</v>
      </c>
      <c r="AF608" s="531">
        <v>9088</v>
      </c>
    </row>
    <row r="609" spans="1:32" ht="14.25">
      <c r="A609" s="531">
        <v>9090</v>
      </c>
      <c r="B609" s="1013"/>
      <c r="C609" s="763" t="s">
        <v>1029</v>
      </c>
      <c r="D609" s="517">
        <v>2</v>
      </c>
      <c r="E609" s="504">
        <v>7600</v>
      </c>
      <c r="F609" s="509">
        <v>12</v>
      </c>
      <c r="G609" s="1091">
        <v>6</v>
      </c>
      <c r="H609" s="775">
        <v>5</v>
      </c>
      <c r="I609" s="1092">
        <v>7</v>
      </c>
      <c r="J609" s="1093">
        <v>220</v>
      </c>
      <c r="K609" s="145" t="s">
        <v>347</v>
      </c>
      <c r="L609" s="492">
        <v>12</v>
      </c>
      <c r="M609" s="1093">
        <v>5000</v>
      </c>
      <c r="N609" s="500">
        <v>0.25</v>
      </c>
      <c r="O609" s="788">
        <v>1.5</v>
      </c>
      <c r="P609" s="492"/>
      <c r="Q609" s="609">
        <v>0.05</v>
      </c>
      <c r="R609" s="610">
        <v>959.8666666666666</v>
      </c>
      <c r="S609" s="610">
        <v>224</v>
      </c>
      <c r="T609" s="1277">
        <v>623.2</v>
      </c>
      <c r="U609" s="620">
        <v>10.018888888888888</v>
      </c>
      <c r="V609" s="1092">
        <v>2.2800000000000002</v>
      </c>
      <c r="W609" s="1092"/>
      <c r="X609" s="620">
        <v>1.4000000000000001</v>
      </c>
      <c r="Y609" s="864">
        <v>2.2800000000000002</v>
      </c>
      <c r="Z609" s="831">
        <v>11.248000000000003</v>
      </c>
      <c r="AA609" s="866">
        <v>5.624000000000001</v>
      </c>
      <c r="AB609" s="826"/>
      <c r="AC609" s="939">
        <v>15.200000000000001</v>
      </c>
      <c r="AD609" s="826" t="s">
        <v>485</v>
      </c>
      <c r="AE609" s="826">
        <v>0</v>
      </c>
      <c r="AF609" s="531">
        <v>9090</v>
      </c>
    </row>
    <row r="610" spans="1:32" ht="14.25">
      <c r="A610" s="1008">
        <v>9091</v>
      </c>
      <c r="B610" s="1012"/>
      <c r="C610" s="993" t="s">
        <v>761</v>
      </c>
      <c r="D610" s="1086">
        <v>2</v>
      </c>
      <c r="E610" s="1028">
        <v>6500</v>
      </c>
      <c r="F610" s="1041">
        <v>12</v>
      </c>
      <c r="G610" s="1116">
        <v>6</v>
      </c>
      <c r="H610" s="1162">
        <v>6</v>
      </c>
      <c r="I610" s="1096">
        <v>7</v>
      </c>
      <c r="J610" s="1117">
        <v>220</v>
      </c>
      <c r="K610" s="1032" t="s">
        <v>347</v>
      </c>
      <c r="L610" s="1251">
        <v>12</v>
      </c>
      <c r="M610" s="1117">
        <v>5000</v>
      </c>
      <c r="N610" s="1264">
        <v>0.25</v>
      </c>
      <c r="O610" s="815">
        <v>2.55</v>
      </c>
      <c r="P610" s="812">
        <v>1</v>
      </c>
      <c r="Q610" s="507">
        <v>0.0333</v>
      </c>
      <c r="R610" s="201">
        <v>1147.6666666666665</v>
      </c>
      <c r="S610" s="201">
        <v>301</v>
      </c>
      <c r="T610" s="1278">
        <v>539</v>
      </c>
      <c r="U610" s="511">
        <v>9.191666666666666</v>
      </c>
      <c r="V610" s="1096">
        <v>3.315</v>
      </c>
      <c r="W610" s="1096"/>
      <c r="X610" s="511">
        <v>0.9324000000000001</v>
      </c>
      <c r="Y610" s="879">
        <v>3.315</v>
      </c>
      <c r="Z610" s="828">
        <v>12.683000000000002</v>
      </c>
      <c r="AA610" s="869">
        <v>6.341500000000001</v>
      </c>
      <c r="AB610" s="830"/>
      <c r="AC610" s="940">
        <v>13</v>
      </c>
      <c r="AD610" s="830" t="s">
        <v>485</v>
      </c>
      <c r="AE610" s="830">
        <v>0</v>
      </c>
      <c r="AF610" s="807">
        <v>9091</v>
      </c>
    </row>
    <row r="611" spans="1:32" ht="14.25">
      <c r="A611" s="531"/>
      <c r="B611" s="992"/>
      <c r="C611" s="992"/>
      <c r="D611" s="517"/>
      <c r="E611" s="504"/>
      <c r="F611" s="509"/>
      <c r="G611" s="1094"/>
      <c r="H611" s="520"/>
      <c r="I611" s="520"/>
      <c r="J611" s="770"/>
      <c r="L611" s="492"/>
      <c r="M611" s="783"/>
      <c r="N611" s="500"/>
      <c r="O611" s="788" t="s">
        <v>413</v>
      </c>
      <c r="P611" s="492"/>
      <c r="Q611" s="609">
        <v>0.0333</v>
      </c>
      <c r="R611" s="610">
        <v>1721.5</v>
      </c>
      <c r="S611" s="610">
        <v>329</v>
      </c>
      <c r="T611" s="1277" t="s">
        <v>413</v>
      </c>
      <c r="U611" s="620">
        <v>10.4175</v>
      </c>
      <c r="V611" s="520"/>
      <c r="W611" s="506"/>
      <c r="X611" s="620">
        <v>0.9324000000000001</v>
      </c>
      <c r="Y611" s="823" t="s">
        <v>413</v>
      </c>
      <c r="Z611" s="831"/>
      <c r="AA611" s="889"/>
      <c r="AB611" s="826"/>
      <c r="AC611" s="939" t="s">
        <v>413</v>
      </c>
      <c r="AD611" s="826" t="s">
        <v>413</v>
      </c>
      <c r="AE611" s="826"/>
      <c r="AF611" s="531"/>
    </row>
    <row r="612" spans="1:32" ht="14.25">
      <c r="A612" s="1016">
        <v>9100</v>
      </c>
      <c r="B612" s="988" t="s">
        <v>1501</v>
      </c>
      <c r="C612" s="989" t="s">
        <v>762</v>
      </c>
      <c r="D612" s="1021"/>
      <c r="E612" s="1022"/>
      <c r="F612" s="1023"/>
      <c r="G612" s="1024"/>
      <c r="H612" s="1025"/>
      <c r="I612" s="1025"/>
      <c r="J612" s="1026"/>
      <c r="K612" s="1026"/>
      <c r="L612" s="1021"/>
      <c r="M612" s="1026"/>
      <c r="N612" s="1263" t="s">
        <v>413</v>
      </c>
      <c r="O612" s="816" t="s">
        <v>413</v>
      </c>
      <c r="P612" s="809"/>
      <c r="Q612" s="507">
        <v>0.02</v>
      </c>
      <c r="R612" s="201">
        <v>2295.333333333333</v>
      </c>
      <c r="S612" s="201">
        <v>350</v>
      </c>
      <c r="T612" s="1276" t="s">
        <v>413</v>
      </c>
      <c r="U612" s="511">
        <v>11.205555555555554</v>
      </c>
      <c r="V612" s="1025"/>
      <c r="W612" s="1025"/>
      <c r="X612" s="511">
        <v>0.56</v>
      </c>
      <c r="Y612" s="833" t="s">
        <v>413</v>
      </c>
      <c r="Z612" s="820"/>
      <c r="AA612" s="821"/>
      <c r="AB612" s="822"/>
      <c r="AC612" s="938" t="s">
        <v>413</v>
      </c>
      <c r="AD612" s="822" t="s">
        <v>413</v>
      </c>
      <c r="AE612" s="822"/>
      <c r="AF612" s="808">
        <v>9100</v>
      </c>
    </row>
    <row r="613" spans="1:32" ht="14.25">
      <c r="A613" s="531"/>
      <c r="B613" s="761"/>
      <c r="C613" s="496"/>
      <c r="D613" s="517"/>
      <c r="E613" s="504"/>
      <c r="F613" s="509"/>
      <c r="G613" s="1094"/>
      <c r="H613" s="506"/>
      <c r="I613" s="506"/>
      <c r="J613" s="1163"/>
      <c r="K613" s="495"/>
      <c r="L613" s="496"/>
      <c r="M613" s="764"/>
      <c r="N613" s="500" t="s">
        <v>413</v>
      </c>
      <c r="O613" s="788" t="s">
        <v>413</v>
      </c>
      <c r="P613" s="810"/>
      <c r="Q613" s="609">
        <v>0.02</v>
      </c>
      <c r="R613" s="610">
        <v>3443</v>
      </c>
      <c r="S613" s="610">
        <v>399</v>
      </c>
      <c r="T613" s="1277" t="s">
        <v>413</v>
      </c>
      <c r="U613" s="620">
        <v>13.026666666666667</v>
      </c>
      <c r="V613" s="506"/>
      <c r="W613" s="506"/>
      <c r="X613" s="620">
        <v>0.56</v>
      </c>
      <c r="Y613" s="823" t="s">
        <v>413</v>
      </c>
      <c r="Z613" s="831"/>
      <c r="AA613" s="866"/>
      <c r="AB613" s="802"/>
      <c r="AC613" s="939" t="s">
        <v>413</v>
      </c>
      <c r="AD613" s="826" t="s">
        <v>413</v>
      </c>
      <c r="AE613" s="826"/>
      <c r="AF613" s="531"/>
    </row>
    <row r="614" spans="1:32" ht="14.25">
      <c r="A614" s="1008">
        <v>9101</v>
      </c>
      <c r="B614" s="991" t="s">
        <v>1501</v>
      </c>
      <c r="C614" s="993" t="s">
        <v>763</v>
      </c>
      <c r="D614" s="1115">
        <v>2.5</v>
      </c>
      <c r="E614" s="1028">
        <v>40000</v>
      </c>
      <c r="F614" s="1041">
        <v>60</v>
      </c>
      <c r="G614" s="1116">
        <v>24</v>
      </c>
      <c r="H614" s="1096">
        <v>21</v>
      </c>
      <c r="I614" s="1096">
        <v>30</v>
      </c>
      <c r="J614" s="1117">
        <v>250</v>
      </c>
      <c r="K614" s="1032" t="s">
        <v>347</v>
      </c>
      <c r="L614" s="1251">
        <v>12</v>
      </c>
      <c r="M614" s="1117">
        <v>5000</v>
      </c>
      <c r="N614" s="1264">
        <v>0.1</v>
      </c>
      <c r="O614" s="815">
        <v>0.65</v>
      </c>
      <c r="P614" s="812">
        <v>82</v>
      </c>
      <c r="Q614" s="507">
        <v>0.0333</v>
      </c>
      <c r="R614" s="201">
        <v>1131</v>
      </c>
      <c r="S614" s="201">
        <v>420</v>
      </c>
      <c r="T614" s="1278">
        <v>4212</v>
      </c>
      <c r="U614" s="511">
        <v>15.77</v>
      </c>
      <c r="V614" s="1096">
        <v>5.2</v>
      </c>
      <c r="W614" s="613"/>
      <c r="X614" s="511">
        <v>0.9324000000000001</v>
      </c>
      <c r="Y614" s="879">
        <v>5.2</v>
      </c>
      <c r="Z614" s="828"/>
      <c r="AA614" s="869">
        <v>24.2528</v>
      </c>
      <c r="AB614" s="830">
        <v>25</v>
      </c>
      <c r="AC614" s="940">
        <v>80</v>
      </c>
      <c r="AD614" s="830" t="s">
        <v>485</v>
      </c>
      <c r="AE614" s="830">
        <v>0</v>
      </c>
      <c r="AF614" s="807">
        <v>9101</v>
      </c>
    </row>
    <row r="615" spans="1:32" ht="14.25">
      <c r="A615" s="531">
        <v>9102</v>
      </c>
      <c r="B615" s="992" t="s">
        <v>1501</v>
      </c>
      <c r="C615" s="763" t="s">
        <v>764</v>
      </c>
      <c r="D615" s="1090">
        <v>1.8</v>
      </c>
      <c r="E615" s="504">
        <v>54000</v>
      </c>
      <c r="F615" s="509">
        <v>58</v>
      </c>
      <c r="G615" s="1091">
        <v>32</v>
      </c>
      <c r="H615" s="1092">
        <v>27</v>
      </c>
      <c r="I615" s="1092">
        <v>40</v>
      </c>
      <c r="J615" s="1093">
        <v>250</v>
      </c>
      <c r="K615" s="145" t="s">
        <v>347</v>
      </c>
      <c r="L615" s="492">
        <v>12</v>
      </c>
      <c r="M615" s="1093">
        <v>5000</v>
      </c>
      <c r="N615" s="500">
        <v>0.1</v>
      </c>
      <c r="O615" s="788">
        <v>0.6</v>
      </c>
      <c r="P615" s="492">
        <v>107</v>
      </c>
      <c r="Q615" s="507"/>
      <c r="R615" s="201" t="s">
        <v>413</v>
      </c>
      <c r="S615" s="201"/>
      <c r="T615" s="1277">
        <v>5664</v>
      </c>
      <c r="U615" s="511"/>
      <c r="V615" s="1092">
        <v>6.48</v>
      </c>
      <c r="W615" s="506"/>
      <c r="X615" s="511"/>
      <c r="Y615" s="864">
        <v>6.48</v>
      </c>
      <c r="Z615" s="831"/>
      <c r="AA615" s="866">
        <v>32.049600000000005</v>
      </c>
      <c r="AB615" s="826">
        <v>35</v>
      </c>
      <c r="AC615" s="939">
        <v>108</v>
      </c>
      <c r="AD615" s="826" t="s">
        <v>485</v>
      </c>
      <c r="AE615" s="826">
        <v>0</v>
      </c>
      <c r="AF615" s="531">
        <v>9102</v>
      </c>
    </row>
    <row r="616" spans="1:32" ht="14.25">
      <c r="A616" s="1008">
        <v>9103</v>
      </c>
      <c r="B616" s="991" t="s">
        <v>1501</v>
      </c>
      <c r="C616" s="993" t="s">
        <v>765</v>
      </c>
      <c r="D616" s="1115">
        <v>1.3</v>
      </c>
      <c r="E616" s="1028">
        <v>65000</v>
      </c>
      <c r="F616" s="1041">
        <v>51</v>
      </c>
      <c r="G616" s="1116">
        <v>39</v>
      </c>
      <c r="H616" s="1096">
        <v>33</v>
      </c>
      <c r="I616" s="1096">
        <v>49</v>
      </c>
      <c r="J616" s="1117">
        <v>250</v>
      </c>
      <c r="K616" s="1032" t="s">
        <v>347</v>
      </c>
      <c r="L616" s="1251">
        <v>12</v>
      </c>
      <c r="M616" s="1117">
        <v>5000</v>
      </c>
      <c r="N616" s="1264">
        <v>0.1</v>
      </c>
      <c r="O616" s="815">
        <v>0.6</v>
      </c>
      <c r="P616" s="812">
        <v>130</v>
      </c>
      <c r="Q616" s="603"/>
      <c r="R616" s="605" t="s">
        <v>413</v>
      </c>
      <c r="S616" s="606"/>
      <c r="T616" s="1278">
        <v>6825</v>
      </c>
      <c r="U616" s="604"/>
      <c r="V616" s="1096">
        <v>7.8</v>
      </c>
      <c r="W616" s="613"/>
      <c r="X616" s="604"/>
      <c r="Y616" s="879">
        <v>7.8</v>
      </c>
      <c r="Z616" s="828"/>
      <c r="AA616" s="869">
        <v>38.61000000000001</v>
      </c>
      <c r="AB616" s="830">
        <v>45</v>
      </c>
      <c r="AC616" s="940">
        <v>130</v>
      </c>
      <c r="AD616" s="830" t="s">
        <v>485</v>
      </c>
      <c r="AE616" s="830">
        <v>0</v>
      </c>
      <c r="AF616" s="807">
        <v>9103</v>
      </c>
    </row>
    <row r="617" spans="1:32" ht="14.25">
      <c r="A617" s="531">
        <v>9105</v>
      </c>
      <c r="B617" s="992" t="s">
        <v>1501</v>
      </c>
      <c r="C617" s="763" t="s">
        <v>1358</v>
      </c>
      <c r="D617" s="1090">
        <v>2.5</v>
      </c>
      <c r="E617" s="504">
        <v>52000</v>
      </c>
      <c r="F617" s="509">
        <v>68</v>
      </c>
      <c r="G617" s="1091">
        <v>27</v>
      </c>
      <c r="H617" s="1092">
        <v>23</v>
      </c>
      <c r="I617" s="1092">
        <v>34</v>
      </c>
      <c r="J617" s="1093">
        <v>250</v>
      </c>
      <c r="K617" s="145" t="s">
        <v>347</v>
      </c>
      <c r="L617" s="492">
        <v>15</v>
      </c>
      <c r="M617" s="1093">
        <v>5000</v>
      </c>
      <c r="N617" s="500">
        <v>0.1</v>
      </c>
      <c r="O617" s="788">
        <v>0.6</v>
      </c>
      <c r="P617" s="492">
        <v>82</v>
      </c>
      <c r="Q617" s="495"/>
      <c r="R617" s="201" t="s">
        <v>413</v>
      </c>
      <c r="S617" s="499"/>
      <c r="T617" s="1277">
        <v>4548</v>
      </c>
      <c r="U617" s="495"/>
      <c r="V617" s="1092">
        <v>6.24</v>
      </c>
      <c r="W617" s="506"/>
      <c r="X617" s="495"/>
      <c r="Y617" s="864">
        <v>6.24</v>
      </c>
      <c r="Z617" s="831"/>
      <c r="AA617" s="866">
        <v>26.875200000000003</v>
      </c>
      <c r="AB617" s="826">
        <v>25</v>
      </c>
      <c r="AC617" s="939">
        <v>104</v>
      </c>
      <c r="AD617" s="826" t="s">
        <v>485</v>
      </c>
      <c r="AE617" s="826">
        <v>0</v>
      </c>
      <c r="AF617" s="531">
        <v>9105</v>
      </c>
    </row>
    <row r="618" spans="1:32" ht="14.25">
      <c r="A618" s="1008">
        <v>9106</v>
      </c>
      <c r="B618" s="991" t="s">
        <v>1501</v>
      </c>
      <c r="C618" s="993" t="s">
        <v>767</v>
      </c>
      <c r="D618" s="1115">
        <v>1.8</v>
      </c>
      <c r="E618" s="1028">
        <v>79000</v>
      </c>
      <c r="F618" s="1041">
        <v>68</v>
      </c>
      <c r="G618" s="1116">
        <v>38</v>
      </c>
      <c r="H618" s="1096">
        <v>32</v>
      </c>
      <c r="I618" s="1096">
        <v>48</v>
      </c>
      <c r="J618" s="1117">
        <v>250</v>
      </c>
      <c r="K618" s="1032" t="s">
        <v>347</v>
      </c>
      <c r="L618" s="1251">
        <v>15</v>
      </c>
      <c r="M618" s="1117">
        <v>5000</v>
      </c>
      <c r="N618" s="1264">
        <v>0.1</v>
      </c>
      <c r="O618" s="815">
        <v>0.45</v>
      </c>
      <c r="P618" s="812">
        <v>107</v>
      </c>
      <c r="Q618" s="609">
        <v>0.05</v>
      </c>
      <c r="R618" s="610">
        <v>548.1</v>
      </c>
      <c r="S618" s="610">
        <v>231</v>
      </c>
      <c r="T618" s="1278">
        <v>6804</v>
      </c>
      <c r="U618" s="620">
        <v>9.89625</v>
      </c>
      <c r="V618" s="1096">
        <v>7.11</v>
      </c>
      <c r="W618" s="613"/>
      <c r="X618" s="620">
        <v>1.4000000000000001</v>
      </c>
      <c r="Y618" s="879">
        <v>7.11</v>
      </c>
      <c r="Z618" s="828"/>
      <c r="AA618" s="869">
        <v>37.7586</v>
      </c>
      <c r="AB618" s="830">
        <v>35</v>
      </c>
      <c r="AC618" s="940">
        <v>158</v>
      </c>
      <c r="AD618" s="830" t="s">
        <v>485</v>
      </c>
      <c r="AE618" s="830">
        <v>0</v>
      </c>
      <c r="AF618" s="807">
        <v>9106</v>
      </c>
    </row>
    <row r="619" spans="1:32" ht="14.25">
      <c r="A619" s="531">
        <v>9107</v>
      </c>
      <c r="B619" s="992" t="s">
        <v>1501</v>
      </c>
      <c r="C619" s="763" t="s">
        <v>768</v>
      </c>
      <c r="D619" s="1090">
        <v>1.3</v>
      </c>
      <c r="E619" s="504">
        <v>125000</v>
      </c>
      <c r="F619" s="509">
        <v>73</v>
      </c>
      <c r="G619" s="1091">
        <v>56</v>
      </c>
      <c r="H619" s="1092">
        <v>47</v>
      </c>
      <c r="I619" s="1092">
        <v>71</v>
      </c>
      <c r="J619" s="1093">
        <v>250</v>
      </c>
      <c r="K619" s="145" t="s">
        <v>347</v>
      </c>
      <c r="L619" s="492">
        <v>15</v>
      </c>
      <c r="M619" s="1093">
        <v>5000</v>
      </c>
      <c r="N619" s="500">
        <v>0.1</v>
      </c>
      <c r="O619" s="788">
        <v>0.35</v>
      </c>
      <c r="P619" s="492">
        <v>130</v>
      </c>
      <c r="Q619" s="507">
        <v>0.05</v>
      </c>
      <c r="R619" s="201">
        <v>835.2</v>
      </c>
      <c r="S619" s="201">
        <v>245</v>
      </c>
      <c r="T619" s="1277">
        <v>10530</v>
      </c>
      <c r="U619" s="511">
        <v>10.994000000000002</v>
      </c>
      <c r="V619" s="1092">
        <v>8.75</v>
      </c>
      <c r="W619" s="506"/>
      <c r="X619" s="511">
        <v>1.4000000000000001</v>
      </c>
      <c r="Y619" s="864">
        <v>8.75</v>
      </c>
      <c r="Z619" s="831"/>
      <c r="AA619" s="866">
        <v>55.957</v>
      </c>
      <c r="AB619" s="826">
        <v>45</v>
      </c>
      <c r="AC619" s="939">
        <v>250</v>
      </c>
      <c r="AD619" s="826" t="s">
        <v>485</v>
      </c>
      <c r="AE619" s="826">
        <v>0</v>
      </c>
      <c r="AF619" s="531">
        <v>9107</v>
      </c>
    </row>
    <row r="620" spans="1:32" ht="14.25">
      <c r="A620" s="531"/>
      <c r="B620" s="761"/>
      <c r="C620" s="496"/>
      <c r="D620" s="517"/>
      <c r="E620" s="504"/>
      <c r="F620" s="509"/>
      <c r="G620" s="1094"/>
      <c r="H620" s="520"/>
      <c r="I620" s="520"/>
      <c r="J620" s="770"/>
      <c r="K620" s="495"/>
      <c r="L620" s="496"/>
      <c r="M620" s="783"/>
      <c r="N620" s="500"/>
      <c r="O620" s="788" t="s">
        <v>413</v>
      </c>
      <c r="P620" s="810"/>
      <c r="Q620" s="609">
        <v>0.025</v>
      </c>
      <c r="R620" s="610">
        <v>2001</v>
      </c>
      <c r="S620" s="610">
        <v>462</v>
      </c>
      <c r="T620" s="1277" t="s">
        <v>413</v>
      </c>
      <c r="U620" s="620">
        <v>15.68125</v>
      </c>
      <c r="V620" s="520"/>
      <c r="W620" s="506"/>
      <c r="X620" s="620">
        <v>0.7000000000000001</v>
      </c>
      <c r="Y620" s="823" t="s">
        <v>413</v>
      </c>
      <c r="Z620" s="831"/>
      <c r="AA620" s="866"/>
      <c r="AB620" s="802"/>
      <c r="AC620" s="939" t="s">
        <v>413</v>
      </c>
      <c r="AD620" s="826" t="s">
        <v>413</v>
      </c>
      <c r="AE620" s="826"/>
      <c r="AF620" s="531"/>
    </row>
    <row r="621" spans="1:32" ht="14.25">
      <c r="A621" s="1016">
        <v>9120</v>
      </c>
      <c r="B621" s="988" t="s">
        <v>1501</v>
      </c>
      <c r="C621" s="989" t="s">
        <v>769</v>
      </c>
      <c r="D621" s="1021"/>
      <c r="E621" s="1022"/>
      <c r="F621" s="1023"/>
      <c r="G621" s="1024"/>
      <c r="H621" s="1025"/>
      <c r="I621" s="1025"/>
      <c r="J621" s="1026"/>
      <c r="K621" s="1026"/>
      <c r="L621" s="1021"/>
      <c r="M621" s="1026"/>
      <c r="N621" s="1263" t="s">
        <v>413</v>
      </c>
      <c r="O621" s="816" t="s">
        <v>413</v>
      </c>
      <c r="P621" s="809"/>
      <c r="Q621" s="507">
        <v>0.025</v>
      </c>
      <c r="R621" s="201">
        <v>2610</v>
      </c>
      <c r="S621" s="201">
        <v>609</v>
      </c>
      <c r="T621" s="1276" t="s">
        <v>413</v>
      </c>
      <c r="U621" s="511">
        <v>18.216666666666665</v>
      </c>
      <c r="V621" s="1025"/>
      <c r="W621" s="1025"/>
      <c r="X621" s="511">
        <v>0.7000000000000001</v>
      </c>
      <c r="Y621" s="833" t="s">
        <v>413</v>
      </c>
      <c r="Z621" s="820"/>
      <c r="AA621" s="821"/>
      <c r="AB621" s="822"/>
      <c r="AC621" s="938" t="s">
        <v>413</v>
      </c>
      <c r="AD621" s="822" t="s">
        <v>413</v>
      </c>
      <c r="AE621" s="822"/>
      <c r="AF621" s="808">
        <v>9120</v>
      </c>
    </row>
    <row r="622" spans="1:32" ht="14.25">
      <c r="A622" s="496"/>
      <c r="B622" s="761"/>
      <c r="C622" s="496"/>
      <c r="D622" s="517"/>
      <c r="E622" s="504"/>
      <c r="F622" s="509"/>
      <c r="G622" s="1094"/>
      <c r="H622" s="520"/>
      <c r="I622" s="520"/>
      <c r="J622" s="770"/>
      <c r="K622" s="495"/>
      <c r="L622" s="496"/>
      <c r="M622" s="786"/>
      <c r="N622" s="500" t="s">
        <v>413</v>
      </c>
      <c r="O622" s="788" t="s">
        <v>413</v>
      </c>
      <c r="P622" s="810"/>
      <c r="Q622" s="609">
        <v>0.025</v>
      </c>
      <c r="R622" s="610">
        <v>2523</v>
      </c>
      <c r="S622" s="610">
        <v>462</v>
      </c>
      <c r="T622" s="1277" t="s">
        <v>413</v>
      </c>
      <c r="U622" s="620">
        <v>19.01875</v>
      </c>
      <c r="V622" s="520"/>
      <c r="W622" s="506"/>
      <c r="X622" s="620">
        <v>0.7000000000000001</v>
      </c>
      <c r="Y622" s="823" t="s">
        <v>413</v>
      </c>
      <c r="Z622" s="831"/>
      <c r="AA622" s="866"/>
      <c r="AB622" s="802"/>
      <c r="AC622" s="939" t="s">
        <v>413</v>
      </c>
      <c r="AD622" s="826" t="s">
        <v>413</v>
      </c>
      <c r="AE622" s="826"/>
      <c r="AF622" s="802"/>
    </row>
    <row r="623" spans="1:32" ht="14.25">
      <c r="A623" s="990">
        <v>9121</v>
      </c>
      <c r="B623" s="991" t="s">
        <v>1501</v>
      </c>
      <c r="C623" s="991" t="s">
        <v>770</v>
      </c>
      <c r="D623" s="1120">
        <v>60</v>
      </c>
      <c r="E623" s="1028">
        <v>111000</v>
      </c>
      <c r="F623" s="1041">
        <v>370</v>
      </c>
      <c r="G623" s="1164">
        <v>6.2</v>
      </c>
      <c r="H623" s="638">
        <v>6</v>
      </c>
      <c r="I623" s="638">
        <v>6.7</v>
      </c>
      <c r="J623" s="1165">
        <v>8000</v>
      </c>
      <c r="K623" s="1032" t="s">
        <v>347</v>
      </c>
      <c r="L623" s="1251">
        <v>12</v>
      </c>
      <c r="M623" s="1165">
        <v>150000</v>
      </c>
      <c r="N623" s="1264">
        <v>0.1</v>
      </c>
      <c r="O623" s="815">
        <v>0.65</v>
      </c>
      <c r="P623" s="812">
        <v>63</v>
      </c>
      <c r="Q623" s="507">
        <v>0.0125</v>
      </c>
      <c r="R623" s="201">
        <v>1348.5</v>
      </c>
      <c r="S623" s="201">
        <v>525</v>
      </c>
      <c r="T623" s="1278">
        <v>10701</v>
      </c>
      <c r="U623" s="511">
        <v>10.580555555555556</v>
      </c>
      <c r="V623" s="638">
        <v>0.481</v>
      </c>
      <c r="W623" s="638">
        <v>3.86</v>
      </c>
      <c r="X623" s="511">
        <v>0.35000000000000003</v>
      </c>
      <c r="Y623" s="883">
        <v>4.341</v>
      </c>
      <c r="Z623" s="828">
        <v>374.78925000000004</v>
      </c>
      <c r="AA623" s="881">
        <v>6.246487500000001</v>
      </c>
      <c r="AB623" s="830"/>
      <c r="AC623" s="940">
        <v>222</v>
      </c>
      <c r="AD623" s="830" t="s">
        <v>176</v>
      </c>
      <c r="AE623" s="830">
        <v>0</v>
      </c>
      <c r="AF623" s="803">
        <v>9121</v>
      </c>
    </row>
    <row r="624" spans="1:32" ht="14.25">
      <c r="A624" s="154">
        <v>9122</v>
      </c>
      <c r="B624" s="1013" t="s">
        <v>1501</v>
      </c>
      <c r="C624" s="992" t="s">
        <v>771</v>
      </c>
      <c r="D624" s="1166">
        <v>220</v>
      </c>
      <c r="E624" s="504">
        <v>33000</v>
      </c>
      <c r="F624" s="509">
        <v>136</v>
      </c>
      <c r="G624" s="1167">
        <v>0.62</v>
      </c>
      <c r="H624" s="1168">
        <v>0.54</v>
      </c>
      <c r="I624" s="1168">
        <v>0.74</v>
      </c>
      <c r="J624" s="776">
        <v>10000</v>
      </c>
      <c r="K624" s="145" t="s">
        <v>347</v>
      </c>
      <c r="L624" s="492">
        <v>12</v>
      </c>
      <c r="M624" s="776">
        <v>150000</v>
      </c>
      <c r="N624" s="500">
        <v>0.1</v>
      </c>
      <c r="O624" s="788">
        <v>0.75</v>
      </c>
      <c r="P624" s="492">
        <v>47</v>
      </c>
      <c r="Q624" s="507"/>
      <c r="R624" s="201" t="s">
        <v>413</v>
      </c>
      <c r="S624" s="201"/>
      <c r="T624" s="1277">
        <v>3351</v>
      </c>
      <c r="U624" s="511"/>
      <c r="V624" s="1168">
        <v>0.165</v>
      </c>
      <c r="W624" s="1168">
        <v>0.06085028571428571</v>
      </c>
      <c r="X624" s="511"/>
      <c r="Y624" s="897">
        <v>0.22585028571428573</v>
      </c>
      <c r="Z624" s="831">
        <v>135.74996914285717</v>
      </c>
      <c r="AA624" s="898">
        <v>0.6170453142857144</v>
      </c>
      <c r="AB624" s="826"/>
      <c r="AC624" s="939">
        <v>66</v>
      </c>
      <c r="AD624" s="826" t="s">
        <v>1377</v>
      </c>
      <c r="AE624" s="826">
        <v>0</v>
      </c>
      <c r="AF624" s="804">
        <v>9122</v>
      </c>
    </row>
    <row r="625" spans="1:32" ht="28.5">
      <c r="A625" s="990">
        <v>9123</v>
      </c>
      <c r="B625" s="991" t="s">
        <v>1501</v>
      </c>
      <c r="C625" s="991" t="s">
        <v>1359</v>
      </c>
      <c r="D625" s="1169">
        <v>50</v>
      </c>
      <c r="E625" s="1028">
        <v>15500</v>
      </c>
      <c r="F625" s="1041">
        <v>60</v>
      </c>
      <c r="G625" s="1170">
        <v>1.2</v>
      </c>
      <c r="H625" s="1171">
        <v>1.1</v>
      </c>
      <c r="I625" s="1171">
        <v>1.5</v>
      </c>
      <c r="J625" s="1172">
        <v>2000</v>
      </c>
      <c r="K625" s="1032" t="s">
        <v>347</v>
      </c>
      <c r="L625" s="1251">
        <v>12</v>
      </c>
      <c r="M625" s="1172">
        <v>35000</v>
      </c>
      <c r="N625" s="1264">
        <v>0.1</v>
      </c>
      <c r="O625" s="815">
        <v>0.7</v>
      </c>
      <c r="P625" s="812">
        <v>12</v>
      </c>
      <c r="Q625" s="603"/>
      <c r="R625" s="605" t="s">
        <v>413</v>
      </c>
      <c r="S625" s="606"/>
      <c r="T625" s="1278">
        <v>1513.5</v>
      </c>
      <c r="U625" s="604"/>
      <c r="V625" s="1171">
        <v>0.30999999999999994</v>
      </c>
      <c r="W625" s="1171">
        <v>0.04449600000000001</v>
      </c>
      <c r="X625" s="604"/>
      <c r="Y625" s="899">
        <v>0.3544959999999999</v>
      </c>
      <c r="Z625" s="828">
        <v>61.11853000000001</v>
      </c>
      <c r="AA625" s="900">
        <v>1.2223706</v>
      </c>
      <c r="AB625" s="830"/>
      <c r="AC625" s="940">
        <v>31</v>
      </c>
      <c r="AD625" s="830" t="s">
        <v>486</v>
      </c>
      <c r="AE625" s="830">
        <v>0</v>
      </c>
      <c r="AF625" s="803">
        <v>9123</v>
      </c>
    </row>
    <row r="626" spans="1:32" ht="28.5">
      <c r="A626" s="154">
        <v>9124</v>
      </c>
      <c r="B626" s="1013" t="s">
        <v>1501</v>
      </c>
      <c r="C626" s="763" t="s">
        <v>1030</v>
      </c>
      <c r="D626" s="515">
        <v>25</v>
      </c>
      <c r="E626" s="504">
        <v>54000</v>
      </c>
      <c r="F626" s="509">
        <v>115</v>
      </c>
      <c r="G626" s="1173">
        <v>4.6</v>
      </c>
      <c r="H626" s="1174">
        <v>4.1</v>
      </c>
      <c r="I626" s="1174">
        <v>5.6</v>
      </c>
      <c r="J626" s="1175">
        <v>2000</v>
      </c>
      <c r="K626" s="145" t="s">
        <v>347</v>
      </c>
      <c r="L626" s="492">
        <v>12</v>
      </c>
      <c r="M626" s="1175">
        <v>30000</v>
      </c>
      <c r="N626" s="500">
        <v>0.1</v>
      </c>
      <c r="O626" s="788">
        <v>0.5</v>
      </c>
      <c r="P626" s="492">
        <v>39</v>
      </c>
      <c r="Q626" s="495"/>
      <c r="R626" s="201" t="s">
        <v>413</v>
      </c>
      <c r="S626" s="499"/>
      <c r="T626" s="1277">
        <v>5256</v>
      </c>
      <c r="U626" s="495"/>
      <c r="V626" s="1174">
        <v>0.9</v>
      </c>
      <c r="W626" s="1174">
        <v>0.6796858516483517</v>
      </c>
      <c r="X626" s="495"/>
      <c r="Y626" s="901">
        <v>1.5796858516483518</v>
      </c>
      <c r="Z626" s="831">
        <v>115.71136092032968</v>
      </c>
      <c r="AA626" s="860">
        <v>4.628454436813187</v>
      </c>
      <c r="AB626" s="826"/>
      <c r="AC626" s="939">
        <v>108</v>
      </c>
      <c r="AD626" s="826" t="s">
        <v>486</v>
      </c>
      <c r="AE626" s="826">
        <v>0</v>
      </c>
      <c r="AF626" s="804">
        <v>9124</v>
      </c>
    </row>
    <row r="627" spans="1:32" ht="28.5">
      <c r="A627" s="990">
        <v>9125</v>
      </c>
      <c r="B627" s="991" t="s">
        <v>1501</v>
      </c>
      <c r="C627" s="993" t="s">
        <v>772</v>
      </c>
      <c r="D627" s="1169">
        <v>25</v>
      </c>
      <c r="E627" s="1028">
        <v>66000</v>
      </c>
      <c r="F627" s="1041">
        <v>128</v>
      </c>
      <c r="G627" s="1170">
        <v>5.1</v>
      </c>
      <c r="H627" s="1171"/>
      <c r="I627" s="1171">
        <v>6.1</v>
      </c>
      <c r="J627" s="1172">
        <v>2500</v>
      </c>
      <c r="K627" s="1032" t="s">
        <v>347</v>
      </c>
      <c r="L627" s="1251">
        <v>12</v>
      </c>
      <c r="M627" s="1172">
        <v>30000</v>
      </c>
      <c r="N627" s="1264">
        <v>0</v>
      </c>
      <c r="O627" s="815">
        <v>0.55</v>
      </c>
      <c r="P627" s="812">
        <v>39</v>
      </c>
      <c r="Q627" s="609">
        <v>0.0333</v>
      </c>
      <c r="R627" s="610">
        <v>2610</v>
      </c>
      <c r="S627" s="610">
        <v>294</v>
      </c>
      <c r="T627" s="1278">
        <v>6856</v>
      </c>
      <c r="U627" s="633">
        <v>12.35</v>
      </c>
      <c r="V627" s="1171">
        <v>1.2100000000000002</v>
      </c>
      <c r="W627" s="1171">
        <v>0.6796858516483517</v>
      </c>
      <c r="X627" s="633">
        <v>0.9324000000000001</v>
      </c>
      <c r="Y627" s="899">
        <v>1.889685851648352</v>
      </c>
      <c r="Z627" s="828">
        <v>127.38236092032969</v>
      </c>
      <c r="AA627" s="900">
        <v>5.095294436813187</v>
      </c>
      <c r="AB627" s="830"/>
      <c r="AC627" s="940">
        <v>132</v>
      </c>
      <c r="AD627" s="830" t="s">
        <v>486</v>
      </c>
      <c r="AE627" s="830">
        <v>0</v>
      </c>
      <c r="AF627" s="803">
        <v>9125</v>
      </c>
    </row>
    <row r="628" spans="1:32" ht="14.25">
      <c r="A628" s="154">
        <v>9126</v>
      </c>
      <c r="B628" s="1013" t="s">
        <v>1501</v>
      </c>
      <c r="C628" s="763" t="s">
        <v>1031</v>
      </c>
      <c r="D628" s="515">
        <v>20</v>
      </c>
      <c r="E628" s="504">
        <v>65000</v>
      </c>
      <c r="F628" s="509">
        <v>134</v>
      </c>
      <c r="G628" s="1173">
        <v>6.7</v>
      </c>
      <c r="H628" s="1174">
        <v>5.9</v>
      </c>
      <c r="I628" s="1174">
        <v>8.1</v>
      </c>
      <c r="J628" s="1175">
        <v>1700</v>
      </c>
      <c r="K628" s="145" t="s">
        <v>347</v>
      </c>
      <c r="L628" s="492">
        <v>12</v>
      </c>
      <c r="M628" s="1175">
        <v>30000</v>
      </c>
      <c r="N628" s="500">
        <v>0.1</v>
      </c>
      <c r="O628" s="788">
        <v>0.65</v>
      </c>
      <c r="P628" s="492">
        <v>54</v>
      </c>
      <c r="Q628" s="507">
        <v>0.05</v>
      </c>
      <c r="R628" s="201">
        <v>3306</v>
      </c>
      <c r="S628" s="201">
        <v>371</v>
      </c>
      <c r="T628" s="1277">
        <v>6469</v>
      </c>
      <c r="U628" s="520">
        <v>25.02</v>
      </c>
      <c r="V628" s="1174">
        <v>1.4083333333333332</v>
      </c>
      <c r="W628" s="1174">
        <v>0.8674103076923076</v>
      </c>
      <c r="X628" s="520">
        <v>1.4000000000000001</v>
      </c>
      <c r="Y628" s="901">
        <v>2.275743641025641</v>
      </c>
      <c r="Z628" s="831">
        <v>133.78283069079941</v>
      </c>
      <c r="AA628" s="860">
        <v>6.689141534539971</v>
      </c>
      <c r="AB628" s="826"/>
      <c r="AC628" s="939">
        <v>230</v>
      </c>
      <c r="AD628" s="826" t="s">
        <v>486</v>
      </c>
      <c r="AE628" s="826">
        <v>0</v>
      </c>
      <c r="AF628" s="804">
        <v>9126</v>
      </c>
    </row>
    <row r="629" spans="1:32" ht="14.25">
      <c r="A629" s="990">
        <v>9127</v>
      </c>
      <c r="B629" s="991" t="s">
        <v>1501</v>
      </c>
      <c r="C629" s="993" t="s">
        <v>773</v>
      </c>
      <c r="D629" s="1169">
        <v>20</v>
      </c>
      <c r="E629" s="1028">
        <v>72000</v>
      </c>
      <c r="F629" s="1041">
        <v>134</v>
      </c>
      <c r="G629" s="1170">
        <v>6.7</v>
      </c>
      <c r="H629" s="1171">
        <v>5.9</v>
      </c>
      <c r="I629" s="1171">
        <v>8</v>
      </c>
      <c r="J629" s="1172">
        <v>2000</v>
      </c>
      <c r="K629" s="1032" t="s">
        <v>347</v>
      </c>
      <c r="L629" s="1251">
        <v>12</v>
      </c>
      <c r="M629" s="1172">
        <v>30000</v>
      </c>
      <c r="N629" s="1264">
        <v>0.1</v>
      </c>
      <c r="O629" s="815">
        <v>0.7</v>
      </c>
      <c r="P629" s="812">
        <v>54</v>
      </c>
      <c r="Q629" s="609">
        <v>0.0333</v>
      </c>
      <c r="R629" s="610">
        <v>2262</v>
      </c>
      <c r="S629" s="610">
        <v>518</v>
      </c>
      <c r="T629" s="1278">
        <v>7120</v>
      </c>
      <c r="U629" s="633">
        <v>18.88</v>
      </c>
      <c r="V629" s="1171">
        <v>1.68</v>
      </c>
      <c r="W629" s="1171">
        <v>0.8674103076923076</v>
      </c>
      <c r="X629" s="633">
        <v>0.9324000000000001</v>
      </c>
      <c r="Y629" s="899">
        <v>2.5474103076923074</v>
      </c>
      <c r="Z629" s="828">
        <v>134.36302676923077</v>
      </c>
      <c r="AA629" s="900">
        <v>6.718151338461539</v>
      </c>
      <c r="AB629" s="830"/>
      <c r="AC629" s="940">
        <v>244</v>
      </c>
      <c r="AD629" s="830" t="s">
        <v>486</v>
      </c>
      <c r="AE629" s="830">
        <v>0</v>
      </c>
      <c r="AF629" s="803">
        <v>9127</v>
      </c>
    </row>
    <row r="630" spans="1:32" ht="14.25">
      <c r="A630" s="154">
        <v>9128</v>
      </c>
      <c r="B630" s="1013" t="s">
        <v>1501</v>
      </c>
      <c r="C630" s="763" t="s">
        <v>1032</v>
      </c>
      <c r="D630" s="1176">
        <v>60</v>
      </c>
      <c r="E630" s="504">
        <v>184000</v>
      </c>
      <c r="F630" s="509">
        <v>430</v>
      </c>
      <c r="G630" s="1173">
        <v>7.2</v>
      </c>
      <c r="H630" s="1174">
        <v>6.2</v>
      </c>
      <c r="I630" s="1174">
        <v>8.8</v>
      </c>
      <c r="J630" s="1175">
        <v>4000</v>
      </c>
      <c r="K630" s="145" t="s">
        <v>347</v>
      </c>
      <c r="L630" s="492">
        <v>12</v>
      </c>
      <c r="M630" s="1175">
        <v>70000</v>
      </c>
      <c r="N630" s="500">
        <v>0.1</v>
      </c>
      <c r="O630" s="788">
        <v>0.55</v>
      </c>
      <c r="P630" s="492">
        <v>78</v>
      </c>
      <c r="Q630" s="507">
        <v>0.05</v>
      </c>
      <c r="R630" s="201">
        <v>3132</v>
      </c>
      <c r="S630" s="201">
        <v>735</v>
      </c>
      <c r="T630" s="1277">
        <v>17680</v>
      </c>
      <c r="U630" s="520">
        <v>17.904545454545456</v>
      </c>
      <c r="V630" s="1174">
        <v>1.4457142857142857</v>
      </c>
      <c r="W630" s="1174">
        <v>0.644676923076923</v>
      </c>
      <c r="X630" s="520">
        <v>1.4000000000000001</v>
      </c>
      <c r="Y630" s="901">
        <v>2.0903912087912087</v>
      </c>
      <c r="Z630" s="831">
        <v>429.68581978021984</v>
      </c>
      <c r="AA630" s="902">
        <v>7.16143032967033</v>
      </c>
      <c r="AB630" s="826"/>
      <c r="AC630" s="939">
        <v>468</v>
      </c>
      <c r="AD630" s="826" t="s">
        <v>486</v>
      </c>
      <c r="AE630" s="826">
        <v>0</v>
      </c>
      <c r="AF630" s="804">
        <v>9128</v>
      </c>
    </row>
    <row r="631" spans="1:32" ht="14.25">
      <c r="A631" s="990">
        <v>9129</v>
      </c>
      <c r="B631" s="991" t="s">
        <v>1501</v>
      </c>
      <c r="C631" s="993" t="s">
        <v>1033</v>
      </c>
      <c r="D631" s="1177">
        <v>40</v>
      </c>
      <c r="E631" s="1028">
        <v>208000</v>
      </c>
      <c r="F631" s="1041">
        <v>420</v>
      </c>
      <c r="G631" s="1170">
        <v>10.5</v>
      </c>
      <c r="H631" s="1171">
        <v>9</v>
      </c>
      <c r="I631" s="1171">
        <v>13</v>
      </c>
      <c r="J631" s="1172">
        <v>3000</v>
      </c>
      <c r="K631" s="1032" t="s">
        <v>347</v>
      </c>
      <c r="L631" s="1251">
        <v>12</v>
      </c>
      <c r="M631" s="1172">
        <v>60000</v>
      </c>
      <c r="N631" s="1264">
        <v>0.1</v>
      </c>
      <c r="O631" s="815">
        <v>0.5</v>
      </c>
      <c r="P631" s="812">
        <v>93</v>
      </c>
      <c r="Q631" s="609">
        <v>0.066667</v>
      </c>
      <c r="R631" s="610">
        <v>4002</v>
      </c>
      <c r="S631" s="610">
        <v>868</v>
      </c>
      <c r="T631" s="1278">
        <v>20002</v>
      </c>
      <c r="U631" s="633">
        <v>22.554545454545455</v>
      </c>
      <c r="V631" s="1171">
        <v>1.7333333333333334</v>
      </c>
      <c r="W631" s="1171">
        <v>1.0207384615384616</v>
      </c>
      <c r="X631" s="633">
        <v>1.866676</v>
      </c>
      <c r="Y631" s="899">
        <v>2.7540717948717948</v>
      </c>
      <c r="Z631" s="828">
        <v>414.54182564102564</v>
      </c>
      <c r="AA631" s="903">
        <v>10.363545641025642</v>
      </c>
      <c r="AB631" s="830"/>
      <c r="AC631" s="940">
        <v>516</v>
      </c>
      <c r="AD631" s="830" t="s">
        <v>486</v>
      </c>
      <c r="AE631" s="830">
        <v>0</v>
      </c>
      <c r="AF631" s="803">
        <v>9129</v>
      </c>
    </row>
    <row r="632" spans="1:32" ht="28.5">
      <c r="A632" s="154">
        <v>9142</v>
      </c>
      <c r="B632" s="992" t="s">
        <v>1501</v>
      </c>
      <c r="C632" s="763" t="s">
        <v>1465</v>
      </c>
      <c r="D632" s="1176">
        <v>35</v>
      </c>
      <c r="E632" s="504">
        <v>255000</v>
      </c>
      <c r="F632" s="509">
        <v>400</v>
      </c>
      <c r="G632" s="1173">
        <v>11.5</v>
      </c>
      <c r="H632" s="1174">
        <v>9.5</v>
      </c>
      <c r="I632" s="1174">
        <v>14.5</v>
      </c>
      <c r="J632" s="1175">
        <v>3000</v>
      </c>
      <c r="K632" s="145" t="s">
        <v>347</v>
      </c>
      <c r="L632" s="492">
        <v>12</v>
      </c>
      <c r="M632" s="1175">
        <v>60000</v>
      </c>
      <c r="N632" s="500">
        <v>0.1</v>
      </c>
      <c r="O632" s="788">
        <v>0.5</v>
      </c>
      <c r="P632" s="492">
        <v>93</v>
      </c>
      <c r="Q632" s="507">
        <v>0.1</v>
      </c>
      <c r="R632" s="201">
        <v>6960</v>
      </c>
      <c r="S632" s="201">
        <v>973</v>
      </c>
      <c r="T632" s="1277">
        <v>24373</v>
      </c>
      <c r="U632" s="520">
        <v>36.78636363636364</v>
      </c>
      <c r="V632" s="1174">
        <v>2.125</v>
      </c>
      <c r="W632" s="1174">
        <v>0.04449600000000001</v>
      </c>
      <c r="X632" s="520">
        <v>2.8000000000000003</v>
      </c>
      <c r="Y632" s="901">
        <v>2.169496</v>
      </c>
      <c r="Z632" s="831">
        <v>396.31242933333334</v>
      </c>
      <c r="AA632" s="902">
        <v>11.323212266666667</v>
      </c>
      <c r="AB632" s="826"/>
      <c r="AC632" s="939">
        <v>610</v>
      </c>
      <c r="AD632" s="826" t="s">
        <v>486</v>
      </c>
      <c r="AE632" s="826">
        <v>0</v>
      </c>
      <c r="AF632" s="804">
        <v>9142</v>
      </c>
    </row>
    <row r="633" spans="1:32" ht="14.25">
      <c r="A633" s="1017">
        <v>9130</v>
      </c>
      <c r="B633" s="1018" t="s">
        <v>1501</v>
      </c>
      <c r="C633" s="1019" t="s">
        <v>774</v>
      </c>
      <c r="D633" s="1178">
        <v>20</v>
      </c>
      <c r="E633" s="1179">
        <v>111000</v>
      </c>
      <c r="F633" s="1180">
        <v>270</v>
      </c>
      <c r="G633" s="1181">
        <v>13.5</v>
      </c>
      <c r="H633" s="1182">
        <v>12.5</v>
      </c>
      <c r="I633" s="1182">
        <v>15.5</v>
      </c>
      <c r="J633" s="1183">
        <v>2500</v>
      </c>
      <c r="K633" s="1184" t="s">
        <v>347</v>
      </c>
      <c r="L633" s="1260">
        <v>10</v>
      </c>
      <c r="M633" s="1183">
        <v>30000</v>
      </c>
      <c r="N633" s="1268">
        <v>0.1</v>
      </c>
      <c r="O633" s="1273">
        <v>0.55</v>
      </c>
      <c r="P633" s="1274">
        <v>106</v>
      </c>
      <c r="Q633" s="609">
        <v>0.1</v>
      </c>
      <c r="R633" s="610">
        <v>9918</v>
      </c>
      <c r="S633" s="610">
        <v>1099</v>
      </c>
      <c r="T633" s="1283">
        <v>12724</v>
      </c>
      <c r="U633" s="633">
        <v>51.11363636363637</v>
      </c>
      <c r="V633" s="1182">
        <v>2.035</v>
      </c>
      <c r="W633" s="1182">
        <v>5.266352518315019</v>
      </c>
      <c r="X633" s="633">
        <v>2.8000000000000003</v>
      </c>
      <c r="Y633" s="1292">
        <v>7.301352518315019</v>
      </c>
      <c r="Z633" s="1293">
        <v>272.6009554029304</v>
      </c>
      <c r="AA633" s="1294">
        <v>13.63004777014652</v>
      </c>
      <c r="AB633" s="1299"/>
      <c r="AC633" s="1301">
        <v>322</v>
      </c>
      <c r="AD633" s="1299" t="s">
        <v>486</v>
      </c>
      <c r="AE633" s="1299">
        <v>0</v>
      </c>
      <c r="AF633" s="1303">
        <v>9130</v>
      </c>
    </row>
    <row r="634" spans="1:32" ht="28.5">
      <c r="A634" s="154">
        <v>9144</v>
      </c>
      <c r="B634" s="1013" t="s">
        <v>1501</v>
      </c>
      <c r="C634" s="763" t="s">
        <v>1466</v>
      </c>
      <c r="D634" s="515">
        <v>18</v>
      </c>
      <c r="E634" s="504">
        <v>110000</v>
      </c>
      <c r="F634" s="509">
        <v>260</v>
      </c>
      <c r="G634" s="1173">
        <v>14.5</v>
      </c>
      <c r="H634" s="1174">
        <v>13.5</v>
      </c>
      <c r="I634" s="1174">
        <v>16.5</v>
      </c>
      <c r="J634" s="1175">
        <v>2500</v>
      </c>
      <c r="K634" s="145" t="s">
        <v>347</v>
      </c>
      <c r="L634" s="492">
        <v>10</v>
      </c>
      <c r="M634" s="1175">
        <v>30000</v>
      </c>
      <c r="N634" s="500">
        <v>0.1</v>
      </c>
      <c r="O634" s="788">
        <v>0.55</v>
      </c>
      <c r="P634" s="492">
        <v>110</v>
      </c>
      <c r="Q634" s="507">
        <v>0.1</v>
      </c>
      <c r="R634" s="201">
        <v>11223</v>
      </c>
      <c r="S634" s="201">
        <v>1309</v>
      </c>
      <c r="T634" s="1277">
        <v>12640</v>
      </c>
      <c r="U634" s="520">
        <v>58.13636363636363</v>
      </c>
      <c r="V634" s="1174">
        <v>2.0166666666666666</v>
      </c>
      <c r="W634" s="1174">
        <v>6.027410307692308</v>
      </c>
      <c r="X634" s="520">
        <v>2.8000000000000003</v>
      </c>
      <c r="Y634" s="901">
        <v>8.044076974358974</v>
      </c>
      <c r="Z634" s="831">
        <v>259.3815240923077</v>
      </c>
      <c r="AA634" s="860">
        <v>14.410084671794872</v>
      </c>
      <c r="AB634" s="826"/>
      <c r="AC634" s="939">
        <v>320</v>
      </c>
      <c r="AD634" s="826" t="s">
        <v>486</v>
      </c>
      <c r="AE634" s="826">
        <v>0</v>
      </c>
      <c r="AF634" s="804">
        <v>9144</v>
      </c>
    </row>
    <row r="635" spans="1:32" ht="28.5">
      <c r="A635" s="990">
        <v>9131</v>
      </c>
      <c r="B635" s="991" t="s">
        <v>1501</v>
      </c>
      <c r="C635" s="991" t="s">
        <v>775</v>
      </c>
      <c r="D635" s="1169">
        <v>45</v>
      </c>
      <c r="E635" s="1028">
        <v>7700</v>
      </c>
      <c r="F635" s="1041">
        <v>200</v>
      </c>
      <c r="G635" s="1170">
        <v>4.4</v>
      </c>
      <c r="H635" s="1171">
        <v>4.3</v>
      </c>
      <c r="I635" s="1171">
        <v>4.5</v>
      </c>
      <c r="J635" s="1172">
        <v>2000</v>
      </c>
      <c r="K635" s="1032" t="s">
        <v>347</v>
      </c>
      <c r="L635" s="1251">
        <v>12</v>
      </c>
      <c r="M635" s="1172">
        <v>35000</v>
      </c>
      <c r="N635" s="1264">
        <v>0.1</v>
      </c>
      <c r="O635" s="815">
        <v>0.95</v>
      </c>
      <c r="P635" s="812">
        <v>12</v>
      </c>
      <c r="Q635" s="609">
        <v>0.05</v>
      </c>
      <c r="R635" s="610">
        <v>321.9</v>
      </c>
      <c r="S635" s="610">
        <v>0</v>
      </c>
      <c r="T635" s="1278">
        <v>788.1</v>
      </c>
      <c r="U635" s="633">
        <v>1.4968181818181816</v>
      </c>
      <c r="V635" s="1171">
        <v>0.209</v>
      </c>
      <c r="W635" s="1171">
        <v>3.4000000000000004</v>
      </c>
      <c r="X635" s="633">
        <v>1.4000000000000001</v>
      </c>
      <c r="Y635" s="899">
        <v>3.6090000000000004</v>
      </c>
      <c r="Z635" s="828">
        <v>198.15097500000002</v>
      </c>
      <c r="AA635" s="900">
        <v>4.403355</v>
      </c>
      <c r="AB635" s="830"/>
      <c r="AC635" s="940">
        <v>15.4</v>
      </c>
      <c r="AD635" s="830" t="s">
        <v>486</v>
      </c>
      <c r="AE635" s="830">
        <v>0</v>
      </c>
      <c r="AF635" s="803">
        <v>9131</v>
      </c>
    </row>
    <row r="636" spans="1:32" ht="28.5">
      <c r="A636" s="154">
        <v>9132</v>
      </c>
      <c r="B636" s="1013" t="s">
        <v>1501</v>
      </c>
      <c r="C636" s="992" t="s">
        <v>1389</v>
      </c>
      <c r="D636" s="515">
        <v>22</v>
      </c>
      <c r="E636" s="504">
        <v>24000</v>
      </c>
      <c r="F636" s="509">
        <v>147</v>
      </c>
      <c r="G636" s="1173">
        <v>6.7</v>
      </c>
      <c r="H636" s="1174">
        <v>6.5</v>
      </c>
      <c r="I636" s="1174">
        <v>7.1</v>
      </c>
      <c r="J636" s="1175">
        <v>2500</v>
      </c>
      <c r="K636" s="145" t="s">
        <v>347</v>
      </c>
      <c r="L636" s="492">
        <v>12</v>
      </c>
      <c r="M636" s="1175">
        <v>35000</v>
      </c>
      <c r="N636" s="500">
        <v>0</v>
      </c>
      <c r="O636" s="788">
        <v>0.7</v>
      </c>
      <c r="P636" s="492">
        <v>36</v>
      </c>
      <c r="Q636" s="507">
        <v>0.066667</v>
      </c>
      <c r="R636" s="201">
        <v>643.8</v>
      </c>
      <c r="S636" s="201">
        <v>0</v>
      </c>
      <c r="T636" s="1277">
        <v>2624</v>
      </c>
      <c r="U636" s="520">
        <v>2.993636363636363</v>
      </c>
      <c r="V636" s="1174">
        <v>0.48</v>
      </c>
      <c r="W636" s="1174">
        <v>4.586666666666667</v>
      </c>
      <c r="X636" s="520">
        <v>1.866676</v>
      </c>
      <c r="Y636" s="901">
        <v>5.066666666666666</v>
      </c>
      <c r="Z636" s="831">
        <v>148.01365333333334</v>
      </c>
      <c r="AA636" s="860">
        <v>6.727893333333333</v>
      </c>
      <c r="AB636" s="826"/>
      <c r="AC636" s="939">
        <v>48</v>
      </c>
      <c r="AD636" s="826" t="s">
        <v>486</v>
      </c>
      <c r="AE636" s="826">
        <v>0</v>
      </c>
      <c r="AF636" s="804">
        <v>9132</v>
      </c>
    </row>
    <row r="637" spans="1:32" ht="28.5">
      <c r="A637" s="990">
        <v>9133</v>
      </c>
      <c r="B637" s="991" t="s">
        <v>1501</v>
      </c>
      <c r="C637" s="991" t="s">
        <v>1390</v>
      </c>
      <c r="D637" s="1169">
        <v>22</v>
      </c>
      <c r="E637" s="1028">
        <v>27000</v>
      </c>
      <c r="F637" s="1041">
        <v>169</v>
      </c>
      <c r="G637" s="1170">
        <v>7.7</v>
      </c>
      <c r="H637" s="1171">
        <v>7.4</v>
      </c>
      <c r="I637" s="1171">
        <v>8.2</v>
      </c>
      <c r="J637" s="1172">
        <v>2000</v>
      </c>
      <c r="K637" s="1032" t="s">
        <v>347</v>
      </c>
      <c r="L637" s="1251">
        <v>12</v>
      </c>
      <c r="M637" s="1172">
        <v>35000</v>
      </c>
      <c r="N637" s="1264">
        <v>0.1</v>
      </c>
      <c r="O637" s="815">
        <v>0.65</v>
      </c>
      <c r="P637" s="812">
        <v>36</v>
      </c>
      <c r="Q637" s="609">
        <v>0.1</v>
      </c>
      <c r="R637" s="610">
        <v>574.2</v>
      </c>
      <c r="S637" s="610">
        <v>7</v>
      </c>
      <c r="T637" s="1278">
        <v>2727</v>
      </c>
      <c r="U637" s="633">
        <v>2.701818181818182</v>
      </c>
      <c r="V637" s="1171">
        <v>0.5014285714285714</v>
      </c>
      <c r="W637" s="1171">
        <v>5.16</v>
      </c>
      <c r="X637" s="633">
        <v>2.8000000000000003</v>
      </c>
      <c r="Y637" s="899">
        <v>5.661428571428572</v>
      </c>
      <c r="Z637" s="828">
        <v>170.00327142857145</v>
      </c>
      <c r="AA637" s="900">
        <v>7.7274214285714296</v>
      </c>
      <c r="AB637" s="830"/>
      <c r="AC637" s="940">
        <v>54</v>
      </c>
      <c r="AD637" s="830" t="s">
        <v>486</v>
      </c>
      <c r="AE637" s="830">
        <v>0</v>
      </c>
      <c r="AF637" s="803">
        <v>9133</v>
      </c>
    </row>
    <row r="638" spans="1:32" ht="14.25">
      <c r="A638" s="154">
        <v>9134</v>
      </c>
      <c r="B638" s="1013" t="s">
        <v>1501</v>
      </c>
      <c r="C638" s="992" t="s">
        <v>776</v>
      </c>
      <c r="D638" s="1176">
        <v>30</v>
      </c>
      <c r="E638" s="504">
        <v>49000</v>
      </c>
      <c r="F638" s="509">
        <v>300</v>
      </c>
      <c r="G638" s="1173">
        <v>9.9</v>
      </c>
      <c r="H638" s="1174">
        <v>9.2</v>
      </c>
      <c r="I638" s="1174">
        <v>11.1</v>
      </c>
      <c r="J638" s="1175">
        <v>1500</v>
      </c>
      <c r="K638" s="145" t="s">
        <v>347</v>
      </c>
      <c r="L638" s="492">
        <v>12</v>
      </c>
      <c r="M638" s="1175">
        <v>30000</v>
      </c>
      <c r="N638" s="500">
        <v>0.1</v>
      </c>
      <c r="O638" s="788">
        <v>0.45</v>
      </c>
      <c r="P638" s="492">
        <v>39</v>
      </c>
      <c r="Q638" s="507">
        <v>0.05</v>
      </c>
      <c r="R638" s="201">
        <v>1914</v>
      </c>
      <c r="S638" s="201">
        <v>413</v>
      </c>
      <c r="T638" s="1277">
        <v>4791</v>
      </c>
      <c r="U638" s="520">
        <v>15.806666666666667</v>
      </c>
      <c r="V638" s="1174">
        <v>0.735</v>
      </c>
      <c r="W638" s="1174">
        <v>5.102666666666667</v>
      </c>
      <c r="X638" s="520">
        <v>1.4000000000000001</v>
      </c>
      <c r="Y638" s="901">
        <v>5.837666666666667</v>
      </c>
      <c r="Z638" s="831">
        <v>298.045</v>
      </c>
      <c r="AA638" s="902">
        <v>9.934833333333334</v>
      </c>
      <c r="AB638" s="826"/>
      <c r="AC638" s="939">
        <v>98</v>
      </c>
      <c r="AD638" s="826" t="s">
        <v>486</v>
      </c>
      <c r="AE638" s="826">
        <v>0</v>
      </c>
      <c r="AF638" s="804">
        <v>9134</v>
      </c>
    </row>
    <row r="639" spans="1:32" ht="28.5">
      <c r="A639" s="990">
        <v>9135</v>
      </c>
      <c r="B639" s="991" t="s">
        <v>1501</v>
      </c>
      <c r="C639" s="991" t="s">
        <v>777</v>
      </c>
      <c r="D639" s="1169">
        <v>30</v>
      </c>
      <c r="E639" s="1028">
        <v>310000</v>
      </c>
      <c r="F639" s="1041">
        <v>450</v>
      </c>
      <c r="G639" s="1170">
        <v>15</v>
      </c>
      <c r="H639" s="1171">
        <v>13.5</v>
      </c>
      <c r="I639" s="1171">
        <v>17</v>
      </c>
      <c r="J639" s="1172">
        <v>6000</v>
      </c>
      <c r="K639" s="1032" t="s">
        <v>347</v>
      </c>
      <c r="L639" s="1251">
        <v>10</v>
      </c>
      <c r="M639" s="1172">
        <v>80000</v>
      </c>
      <c r="N639" s="1264">
        <v>0.1</v>
      </c>
      <c r="O639" s="815">
        <v>0.65</v>
      </c>
      <c r="P639" s="812">
        <v>124</v>
      </c>
      <c r="Q639" s="507"/>
      <c r="R639" s="201" t="s">
        <v>413</v>
      </c>
      <c r="S639" s="201"/>
      <c r="T639" s="1278">
        <v>34224</v>
      </c>
      <c r="U639" s="520"/>
      <c r="V639" s="1171">
        <v>2.5187500000000003</v>
      </c>
      <c r="W639" s="1171">
        <v>5.266352518315019</v>
      </c>
      <c r="X639" s="520"/>
      <c r="Y639" s="899">
        <v>7.7851025183150195</v>
      </c>
      <c r="Z639" s="828">
        <v>445.14038310439565</v>
      </c>
      <c r="AA639" s="900">
        <v>14.838012770146522</v>
      </c>
      <c r="AB639" s="830"/>
      <c r="AC639" s="940">
        <v>620</v>
      </c>
      <c r="AD639" s="830" t="s">
        <v>486</v>
      </c>
      <c r="AE639" s="830">
        <v>0</v>
      </c>
      <c r="AF639" s="803">
        <v>9135</v>
      </c>
    </row>
    <row r="640" spans="1:32" ht="14.25">
      <c r="A640" s="154">
        <v>9136</v>
      </c>
      <c r="B640" s="1013"/>
      <c r="C640" s="992" t="s">
        <v>778</v>
      </c>
      <c r="D640" s="1166">
        <v>100</v>
      </c>
      <c r="E640" s="504">
        <v>7700</v>
      </c>
      <c r="F640" s="509">
        <v>19</v>
      </c>
      <c r="G640" s="1167">
        <v>0.19</v>
      </c>
      <c r="H640" s="1168">
        <v>0.2</v>
      </c>
      <c r="I640" s="1168">
        <v>0.2</v>
      </c>
      <c r="J640" s="776">
        <v>7000</v>
      </c>
      <c r="K640" s="145" t="s">
        <v>347</v>
      </c>
      <c r="L640" s="492">
        <v>15</v>
      </c>
      <c r="M640" s="776">
        <v>200000</v>
      </c>
      <c r="N640" s="500">
        <v>0.25</v>
      </c>
      <c r="O640" s="788">
        <v>1.2</v>
      </c>
      <c r="P640" s="492">
        <v>55</v>
      </c>
      <c r="Q640" s="603"/>
      <c r="R640" s="605" t="s">
        <v>413</v>
      </c>
      <c r="S640" s="606"/>
      <c r="T640" s="1277">
        <v>865.15</v>
      </c>
      <c r="U640" s="604"/>
      <c r="V640" s="1168">
        <v>0.0462</v>
      </c>
      <c r="W640" s="1168"/>
      <c r="X640" s="604"/>
      <c r="Y640" s="897">
        <v>0.0462</v>
      </c>
      <c r="Z640" s="831">
        <v>18.677214285714285</v>
      </c>
      <c r="AA640" s="898">
        <v>0.18677214285714286</v>
      </c>
      <c r="AB640" s="826"/>
      <c r="AC640" s="939">
        <v>15.4</v>
      </c>
      <c r="AD640" s="826" t="s">
        <v>1377</v>
      </c>
      <c r="AE640" s="826">
        <v>0</v>
      </c>
      <c r="AF640" s="804">
        <v>9136</v>
      </c>
    </row>
    <row r="641" spans="1:32" ht="14.25">
      <c r="A641" s="1003">
        <v>9138</v>
      </c>
      <c r="B641" s="1005"/>
      <c r="C641" s="1005" t="s">
        <v>779</v>
      </c>
      <c r="D641" s="1185">
        <v>100</v>
      </c>
      <c r="E641" s="1078">
        <v>35000</v>
      </c>
      <c r="F641" s="1186"/>
      <c r="G641" s="1187">
        <v>0.45</v>
      </c>
      <c r="H641" s="1188">
        <v>0.4</v>
      </c>
      <c r="I641" s="1188">
        <v>0.6</v>
      </c>
      <c r="J641" s="1189">
        <v>13000</v>
      </c>
      <c r="K641" s="1083" t="s">
        <v>347</v>
      </c>
      <c r="L641" s="1257">
        <v>12</v>
      </c>
      <c r="M641" s="1189">
        <v>200000</v>
      </c>
      <c r="N641" s="1267">
        <v>0.1</v>
      </c>
      <c r="O641" s="1271">
        <v>0.65</v>
      </c>
      <c r="P641" s="1272">
        <v>101</v>
      </c>
      <c r="Q641" s="507"/>
      <c r="R641" s="201" t="s">
        <v>413</v>
      </c>
      <c r="S641" s="206"/>
      <c r="T641" s="1282">
        <v>3861</v>
      </c>
      <c r="U641" s="506"/>
      <c r="V641" s="1188">
        <v>0.11374999999999999</v>
      </c>
      <c r="W641" s="1188"/>
      <c r="X641" s="506"/>
      <c r="Y641" s="1295">
        <v>0.11374999999999999</v>
      </c>
      <c r="Z641" s="1289"/>
      <c r="AA641" s="1296">
        <v>0.451825</v>
      </c>
      <c r="AB641" s="1297"/>
      <c r="AC641" s="1300">
        <v>70</v>
      </c>
      <c r="AD641" s="1297" t="s">
        <v>1377</v>
      </c>
      <c r="AE641" s="1297">
        <v>0</v>
      </c>
      <c r="AF641" s="1302">
        <v>9138</v>
      </c>
    </row>
    <row r="642" spans="1:32" ht="14.25">
      <c r="A642" s="154">
        <v>9139</v>
      </c>
      <c r="B642" s="992"/>
      <c r="C642" s="992" t="s">
        <v>780</v>
      </c>
      <c r="D642" s="517">
        <v>1</v>
      </c>
      <c r="E642" s="504">
        <v>23000</v>
      </c>
      <c r="F642" s="509"/>
      <c r="G642" s="1091">
        <v>37</v>
      </c>
      <c r="H642" s="1092">
        <v>31</v>
      </c>
      <c r="I642" s="1092">
        <v>47</v>
      </c>
      <c r="J642" s="1093">
        <v>80</v>
      </c>
      <c r="K642" s="145" t="s">
        <v>347</v>
      </c>
      <c r="L642" s="492">
        <v>15</v>
      </c>
      <c r="M642" s="1093">
        <v>5000</v>
      </c>
      <c r="N642" s="500">
        <v>0.25</v>
      </c>
      <c r="O642" s="788">
        <v>1.3</v>
      </c>
      <c r="P642" s="492">
        <v>102</v>
      </c>
      <c r="Q642" s="609">
        <v>0.05</v>
      </c>
      <c r="R642" s="610">
        <v>3480</v>
      </c>
      <c r="S642" s="610">
        <v>574</v>
      </c>
      <c r="T642" s="1277">
        <v>2210.5</v>
      </c>
      <c r="U642" s="633">
        <v>20.67</v>
      </c>
      <c r="V642" s="1092">
        <v>5.9799999999999995</v>
      </c>
      <c r="W642" s="1092"/>
      <c r="X642" s="633">
        <v>1.4000000000000001</v>
      </c>
      <c r="Y642" s="864">
        <v>5.9799999999999995</v>
      </c>
      <c r="Z642" s="831"/>
      <c r="AA642" s="866">
        <v>36.972375</v>
      </c>
      <c r="AB642" s="826"/>
      <c r="AC642" s="939">
        <v>46</v>
      </c>
      <c r="AD642" s="826" t="s">
        <v>485</v>
      </c>
      <c r="AE642" s="826">
        <v>0</v>
      </c>
      <c r="AF642" s="804">
        <v>9139</v>
      </c>
    </row>
    <row r="643" spans="1:32" ht="14.25">
      <c r="A643" s="496"/>
      <c r="B643" s="761"/>
      <c r="C643" s="496"/>
      <c r="D643" s="517"/>
      <c r="E643" s="504"/>
      <c r="F643" s="509"/>
      <c r="G643" s="1094"/>
      <c r="H643" s="520"/>
      <c r="I643" s="520"/>
      <c r="J643" s="770"/>
      <c r="K643" s="495"/>
      <c r="L643" s="496"/>
      <c r="M643" s="783"/>
      <c r="N643" s="500" t="s">
        <v>413</v>
      </c>
      <c r="O643" s="788" t="s">
        <v>413</v>
      </c>
      <c r="P643" s="810"/>
      <c r="Q643" s="507">
        <v>0.05</v>
      </c>
      <c r="R643" s="201">
        <v>5046</v>
      </c>
      <c r="S643" s="201">
        <v>749</v>
      </c>
      <c r="T643" s="1277" t="s">
        <v>413</v>
      </c>
      <c r="U643" s="520">
        <v>29.555</v>
      </c>
      <c r="V643" s="520"/>
      <c r="W643" s="506"/>
      <c r="X643" s="520">
        <v>1.4000000000000001</v>
      </c>
      <c r="Y643" s="823" t="s">
        <v>413</v>
      </c>
      <c r="Z643" s="831"/>
      <c r="AA643" s="866"/>
      <c r="AB643" s="802"/>
      <c r="AC643" s="939" t="s">
        <v>413</v>
      </c>
      <c r="AD643" s="826" t="s">
        <v>413</v>
      </c>
      <c r="AE643" s="826"/>
      <c r="AF643" s="802"/>
    </row>
    <row r="644" spans="1:32" ht="14.25">
      <c r="A644" s="987">
        <v>9180</v>
      </c>
      <c r="B644" s="988"/>
      <c r="C644" s="995" t="s">
        <v>781</v>
      </c>
      <c r="D644" s="1139"/>
      <c r="E644" s="1022"/>
      <c r="F644" s="1023"/>
      <c r="G644" s="1024"/>
      <c r="H644" s="1025"/>
      <c r="I644" s="1025"/>
      <c r="J644" s="1026"/>
      <c r="K644" s="1026"/>
      <c r="L644" s="1021"/>
      <c r="M644" s="1026"/>
      <c r="N644" s="1263" t="s">
        <v>413</v>
      </c>
      <c r="O644" s="816" t="s">
        <v>413</v>
      </c>
      <c r="P644" s="809"/>
      <c r="Q644" s="609">
        <v>0.05</v>
      </c>
      <c r="R644" s="610">
        <v>5916</v>
      </c>
      <c r="S644" s="610">
        <v>910</v>
      </c>
      <c r="T644" s="1276" t="s">
        <v>413</v>
      </c>
      <c r="U644" s="633">
        <v>34.81</v>
      </c>
      <c r="V644" s="1025"/>
      <c r="W644" s="1025"/>
      <c r="X644" s="633">
        <v>1.4000000000000001</v>
      </c>
      <c r="Y644" s="833" t="s">
        <v>413</v>
      </c>
      <c r="Z644" s="820"/>
      <c r="AA644" s="821"/>
      <c r="AB644" s="822"/>
      <c r="AC644" s="938" t="s">
        <v>413</v>
      </c>
      <c r="AD644" s="822" t="s">
        <v>413</v>
      </c>
      <c r="AE644" s="822"/>
      <c r="AF644" s="801">
        <v>9180</v>
      </c>
    </row>
    <row r="645" spans="1:32" ht="14.25">
      <c r="A645" s="496"/>
      <c r="B645" s="761"/>
      <c r="C645" s="496"/>
      <c r="D645" s="517"/>
      <c r="E645" s="504"/>
      <c r="F645" s="509"/>
      <c r="G645" s="1094"/>
      <c r="H645" s="520"/>
      <c r="I645" s="520"/>
      <c r="J645" s="770"/>
      <c r="K645" s="495"/>
      <c r="L645" s="496"/>
      <c r="M645" s="783"/>
      <c r="N645" s="500" t="s">
        <v>413</v>
      </c>
      <c r="O645" s="788" t="s">
        <v>413</v>
      </c>
      <c r="P645" s="810"/>
      <c r="Q645" s="507">
        <v>0.05</v>
      </c>
      <c r="R645" s="201">
        <v>247.2</v>
      </c>
      <c r="S645" s="201">
        <v>161</v>
      </c>
      <c r="T645" s="1277" t="s">
        <v>413</v>
      </c>
      <c r="U645" s="520">
        <v>2.0709999999999997</v>
      </c>
      <c r="V645" s="520"/>
      <c r="W645" s="506"/>
      <c r="X645" s="520">
        <v>1.4000000000000001</v>
      </c>
      <c r="Y645" s="823" t="s">
        <v>413</v>
      </c>
      <c r="Z645" s="831"/>
      <c r="AA645" s="866"/>
      <c r="AB645" s="802"/>
      <c r="AC645" s="939" t="s">
        <v>413</v>
      </c>
      <c r="AD645" s="826" t="s">
        <v>413</v>
      </c>
      <c r="AE645" s="826"/>
      <c r="AF645" s="802"/>
    </row>
    <row r="646" spans="1:32" ht="14.25">
      <c r="A646" s="990">
        <v>9181</v>
      </c>
      <c r="B646" s="991"/>
      <c r="C646" s="991" t="s">
        <v>782</v>
      </c>
      <c r="D646" s="1040">
        <v>32</v>
      </c>
      <c r="E646" s="1028">
        <v>13500</v>
      </c>
      <c r="F646" s="1041">
        <v>100</v>
      </c>
      <c r="G646" s="1067">
        <v>300</v>
      </c>
      <c r="H646" s="620">
        <v>260</v>
      </c>
      <c r="I646" s="620">
        <v>370</v>
      </c>
      <c r="J646" s="1043">
        <v>7</v>
      </c>
      <c r="K646" s="1032" t="s">
        <v>347</v>
      </c>
      <c r="L646" s="1251">
        <v>12</v>
      </c>
      <c r="M646" s="1043">
        <v>150</v>
      </c>
      <c r="N646" s="1264">
        <v>0.25</v>
      </c>
      <c r="O646" s="815">
        <v>0.95</v>
      </c>
      <c r="P646" s="812">
        <v>32</v>
      </c>
      <c r="Q646" s="609">
        <v>0.05</v>
      </c>
      <c r="R646" s="610">
        <v>3955.2</v>
      </c>
      <c r="S646" s="610">
        <v>574</v>
      </c>
      <c r="T646" s="1278">
        <v>1299</v>
      </c>
      <c r="U646" s="633">
        <v>23.125999999999998</v>
      </c>
      <c r="V646" s="620">
        <v>85.5</v>
      </c>
      <c r="W646" s="613"/>
      <c r="X646" s="633">
        <v>1.4000000000000001</v>
      </c>
      <c r="Y646" s="846">
        <v>85.5</v>
      </c>
      <c r="Z646" s="828">
        <v>95.41714285714286</v>
      </c>
      <c r="AA646" s="838">
        <v>298.17857142857144</v>
      </c>
      <c r="AB646" s="830"/>
      <c r="AC646" s="940">
        <v>27</v>
      </c>
      <c r="AD646" s="830" t="s">
        <v>484</v>
      </c>
      <c r="AE646" s="830">
        <v>0</v>
      </c>
      <c r="AF646" s="803">
        <v>9181</v>
      </c>
    </row>
    <row r="647" spans="1:32" ht="14.25">
      <c r="A647" s="154">
        <v>9182</v>
      </c>
      <c r="B647" s="992"/>
      <c r="C647" s="992" t="s">
        <v>1034</v>
      </c>
      <c r="D647" s="510">
        <v>62</v>
      </c>
      <c r="E647" s="504">
        <v>46000</v>
      </c>
      <c r="F647" s="509">
        <v>220</v>
      </c>
      <c r="G647" s="1068">
        <v>350</v>
      </c>
      <c r="H647" s="511">
        <v>300</v>
      </c>
      <c r="I647" s="511">
        <v>430</v>
      </c>
      <c r="J647" s="766">
        <v>20</v>
      </c>
      <c r="K647" s="145" t="s">
        <v>347</v>
      </c>
      <c r="L647" s="492">
        <v>12</v>
      </c>
      <c r="M647" s="766">
        <v>400</v>
      </c>
      <c r="N647" s="500">
        <v>0.1</v>
      </c>
      <c r="O647" s="788">
        <v>0.75</v>
      </c>
      <c r="P647" s="492">
        <v>55</v>
      </c>
      <c r="Q647" s="507">
        <v>0.05</v>
      </c>
      <c r="R647" s="201">
        <v>7333.6</v>
      </c>
      <c r="S647" s="201">
        <v>749</v>
      </c>
      <c r="T647" s="1277">
        <v>4608</v>
      </c>
      <c r="U647" s="520">
        <v>41.303000000000004</v>
      </c>
      <c r="V647" s="511">
        <v>86.25</v>
      </c>
      <c r="W647" s="506"/>
      <c r="X647" s="520">
        <v>1.4000000000000001</v>
      </c>
      <c r="Y647" s="848">
        <v>86.25</v>
      </c>
      <c r="Z647" s="831">
        <v>215.9553</v>
      </c>
      <c r="AA647" s="861">
        <v>348.315</v>
      </c>
      <c r="AB647" s="826"/>
      <c r="AC647" s="939">
        <v>92</v>
      </c>
      <c r="AD647" s="826" t="s">
        <v>484</v>
      </c>
      <c r="AE647" s="826">
        <v>0</v>
      </c>
      <c r="AF647" s="804">
        <v>9182</v>
      </c>
    </row>
    <row r="648" spans="1:32" ht="14.25">
      <c r="A648" s="154">
        <v>9184</v>
      </c>
      <c r="B648" s="992"/>
      <c r="C648" s="992" t="s">
        <v>783</v>
      </c>
      <c r="D648" s="510">
        <v>80</v>
      </c>
      <c r="E648" s="504">
        <v>89000</v>
      </c>
      <c r="F648" s="509">
        <v>340</v>
      </c>
      <c r="G648" s="1068">
        <v>430</v>
      </c>
      <c r="H648" s="511">
        <v>370</v>
      </c>
      <c r="I648" s="511">
        <v>540</v>
      </c>
      <c r="J648" s="766">
        <v>30</v>
      </c>
      <c r="K648" s="145" t="s">
        <v>347</v>
      </c>
      <c r="L648" s="492">
        <v>12</v>
      </c>
      <c r="M648" s="766">
        <v>600</v>
      </c>
      <c r="N648" s="500">
        <v>0.1</v>
      </c>
      <c r="O648" s="788">
        <v>0.7</v>
      </c>
      <c r="P648" s="492">
        <v>55</v>
      </c>
      <c r="Q648" s="609">
        <v>0.05</v>
      </c>
      <c r="R648" s="610">
        <v>10547.2</v>
      </c>
      <c r="S648" s="610">
        <v>910</v>
      </c>
      <c r="T648" s="1277">
        <v>8607</v>
      </c>
      <c r="U648" s="633">
        <v>58.566</v>
      </c>
      <c r="V648" s="511">
        <v>103.83333333333333</v>
      </c>
      <c r="W648" s="506"/>
      <c r="X648" s="633">
        <v>1.4000000000000001</v>
      </c>
      <c r="Y648" s="848">
        <v>103.83333333333333</v>
      </c>
      <c r="Z648" s="831">
        <v>343.8453333333333</v>
      </c>
      <c r="AA648" s="861">
        <v>429.8066666666667</v>
      </c>
      <c r="AB648" s="826"/>
      <c r="AC648" s="939">
        <v>178</v>
      </c>
      <c r="AD648" s="826" t="s">
        <v>484</v>
      </c>
      <c r="AE648" s="826">
        <v>0</v>
      </c>
      <c r="AF648" s="804">
        <v>9184</v>
      </c>
    </row>
    <row r="649" spans="1:32" ht="14.25">
      <c r="A649" s="990">
        <v>9185</v>
      </c>
      <c r="B649" s="991"/>
      <c r="C649" s="991" t="s">
        <v>784</v>
      </c>
      <c r="D649" s="1040">
        <v>100</v>
      </c>
      <c r="E649" s="1028">
        <v>107000</v>
      </c>
      <c r="F649" s="1041">
        <v>390</v>
      </c>
      <c r="G649" s="1067">
        <v>390</v>
      </c>
      <c r="H649" s="620">
        <v>330</v>
      </c>
      <c r="I649" s="620">
        <v>480</v>
      </c>
      <c r="J649" s="1043">
        <v>40</v>
      </c>
      <c r="K649" s="1032" t="s">
        <v>347</v>
      </c>
      <c r="L649" s="1251">
        <v>12</v>
      </c>
      <c r="M649" s="1043">
        <v>800</v>
      </c>
      <c r="N649" s="1264">
        <v>0.1</v>
      </c>
      <c r="O649" s="815">
        <v>0.7</v>
      </c>
      <c r="P649" s="812">
        <v>70</v>
      </c>
      <c r="Q649" s="507"/>
      <c r="R649" s="201" t="s">
        <v>413</v>
      </c>
      <c r="S649" s="201"/>
      <c r="T649" s="1278">
        <v>10371</v>
      </c>
      <c r="U649" s="520"/>
      <c r="V649" s="620">
        <v>93.625</v>
      </c>
      <c r="W649" s="613"/>
      <c r="X649" s="520"/>
      <c r="Y649" s="846">
        <v>93.625</v>
      </c>
      <c r="Z649" s="828">
        <v>388.19</v>
      </c>
      <c r="AA649" s="838">
        <v>388.19</v>
      </c>
      <c r="AB649" s="830"/>
      <c r="AC649" s="940">
        <v>214</v>
      </c>
      <c r="AD649" s="830" t="s">
        <v>484</v>
      </c>
      <c r="AE649" s="830">
        <v>0</v>
      </c>
      <c r="AF649" s="803">
        <v>9185</v>
      </c>
    </row>
    <row r="650" spans="1:32" ht="14.25">
      <c r="A650" s="154">
        <v>9186</v>
      </c>
      <c r="B650" s="992"/>
      <c r="C650" s="992" t="s">
        <v>1532</v>
      </c>
      <c r="D650" s="510">
        <v>280</v>
      </c>
      <c r="E650" s="504">
        <v>71000</v>
      </c>
      <c r="F650" s="509">
        <v>140</v>
      </c>
      <c r="G650" s="1068">
        <v>49</v>
      </c>
      <c r="H650" s="511">
        <v>41</v>
      </c>
      <c r="I650" s="511">
        <v>61</v>
      </c>
      <c r="J650" s="766">
        <v>200</v>
      </c>
      <c r="K650" s="145" t="s">
        <v>347</v>
      </c>
      <c r="L650" s="492">
        <v>12</v>
      </c>
      <c r="M650" s="782">
        <v>3000</v>
      </c>
      <c r="N650" s="500">
        <v>0.1</v>
      </c>
      <c r="O650" s="788">
        <v>0.4</v>
      </c>
      <c r="P650" s="492">
        <v>56</v>
      </c>
      <c r="Q650" s="603"/>
      <c r="R650" s="605" t="s">
        <v>413</v>
      </c>
      <c r="S650" s="606"/>
      <c r="T650" s="1277">
        <v>6939</v>
      </c>
      <c r="U650" s="604"/>
      <c r="V650" s="511">
        <v>9.466666666666667</v>
      </c>
      <c r="W650" s="506"/>
      <c r="X650" s="604"/>
      <c r="Y650" s="848">
        <v>9.466666666666667</v>
      </c>
      <c r="Z650" s="831">
        <v>13601.793333333335</v>
      </c>
      <c r="AA650" s="861">
        <v>48.57783333333334</v>
      </c>
      <c r="AB650" s="826"/>
      <c r="AC650" s="939">
        <v>142</v>
      </c>
      <c r="AD650" s="826" t="s">
        <v>484</v>
      </c>
      <c r="AE650" s="826">
        <v>0</v>
      </c>
      <c r="AF650" s="804">
        <v>9186</v>
      </c>
    </row>
    <row r="651" spans="1:32" ht="14.25">
      <c r="A651" s="990">
        <v>9187</v>
      </c>
      <c r="B651" s="991"/>
      <c r="C651" s="991" t="s">
        <v>1533</v>
      </c>
      <c r="D651" s="1040">
        <v>300</v>
      </c>
      <c r="E651" s="1028">
        <v>87000</v>
      </c>
      <c r="F651" s="1041">
        <v>160</v>
      </c>
      <c r="G651" s="1067">
        <v>53</v>
      </c>
      <c r="H651" s="620">
        <v>45</v>
      </c>
      <c r="I651" s="620">
        <v>67</v>
      </c>
      <c r="J651" s="1043">
        <v>220</v>
      </c>
      <c r="K651" s="1032" t="s">
        <v>347</v>
      </c>
      <c r="L651" s="1251">
        <v>12</v>
      </c>
      <c r="M651" s="1252">
        <v>3500</v>
      </c>
      <c r="N651" s="1264">
        <v>0.1</v>
      </c>
      <c r="O651" s="815">
        <v>0.4</v>
      </c>
      <c r="P651" s="812">
        <v>60</v>
      </c>
      <c r="Q651" s="507"/>
      <c r="R651" s="201" t="s">
        <v>413</v>
      </c>
      <c r="S651" s="201"/>
      <c r="T651" s="1278">
        <v>8451</v>
      </c>
      <c r="U651" s="520"/>
      <c r="V651" s="620">
        <v>9.942857142857143</v>
      </c>
      <c r="W651" s="613"/>
      <c r="X651" s="520"/>
      <c r="Y651" s="846">
        <v>9.942857142857143</v>
      </c>
      <c r="Z651" s="828">
        <v>15957.642857142859</v>
      </c>
      <c r="AA651" s="838">
        <v>53.19214285714286</v>
      </c>
      <c r="AB651" s="830"/>
      <c r="AC651" s="940">
        <v>174</v>
      </c>
      <c r="AD651" s="830" t="s">
        <v>484</v>
      </c>
      <c r="AE651" s="830">
        <v>0</v>
      </c>
      <c r="AF651" s="803">
        <v>9187</v>
      </c>
    </row>
    <row r="652" spans="1:32" ht="14.25">
      <c r="A652" s="496"/>
      <c r="B652" s="761"/>
      <c r="C652" s="496"/>
      <c r="D652" s="517"/>
      <c r="E652" s="504"/>
      <c r="F652" s="509"/>
      <c r="G652" s="1094"/>
      <c r="H652" s="520"/>
      <c r="I652" s="520"/>
      <c r="J652" s="770"/>
      <c r="K652" s="495"/>
      <c r="L652" s="496"/>
      <c r="M652" s="783"/>
      <c r="N652" s="500" t="s">
        <v>413</v>
      </c>
      <c r="O652" s="788" t="s">
        <v>413</v>
      </c>
      <c r="P652" s="810"/>
      <c r="Q652" s="642">
        <v>0.0025</v>
      </c>
      <c r="R652" s="610">
        <v>10616.6</v>
      </c>
      <c r="S652" s="610">
        <v>441</v>
      </c>
      <c r="T652" s="1277" t="s">
        <v>413</v>
      </c>
      <c r="U652" s="638">
        <v>1.40945</v>
      </c>
      <c r="V652" s="520"/>
      <c r="W652" s="506"/>
      <c r="X652" s="638">
        <v>0.07</v>
      </c>
      <c r="Y652" s="823" t="s">
        <v>413</v>
      </c>
      <c r="Z652" s="831"/>
      <c r="AA652" s="866"/>
      <c r="AB652" s="802"/>
      <c r="AC652" s="939" t="s">
        <v>413</v>
      </c>
      <c r="AD652" s="826" t="s">
        <v>413</v>
      </c>
      <c r="AE652" s="826"/>
      <c r="AF652" s="802"/>
    </row>
    <row r="653" spans="1:32" ht="14.25">
      <c r="A653" s="987">
        <v>9200</v>
      </c>
      <c r="B653" s="988" t="s">
        <v>1501</v>
      </c>
      <c r="C653" s="989" t="s">
        <v>785</v>
      </c>
      <c r="D653" s="1021"/>
      <c r="E653" s="1022"/>
      <c r="F653" s="1023"/>
      <c r="G653" s="1024"/>
      <c r="H653" s="1025"/>
      <c r="I653" s="1025"/>
      <c r="J653" s="1026"/>
      <c r="K653" s="1026"/>
      <c r="L653" s="1021"/>
      <c r="M653" s="1026"/>
      <c r="N653" s="1263" t="s">
        <v>413</v>
      </c>
      <c r="O653" s="816" t="s">
        <v>413</v>
      </c>
      <c r="P653" s="809"/>
      <c r="Q653" s="513">
        <v>0.002</v>
      </c>
      <c r="R653" s="201">
        <v>3214.2</v>
      </c>
      <c r="S653" s="201">
        <v>329</v>
      </c>
      <c r="T653" s="1276" t="s">
        <v>413</v>
      </c>
      <c r="U653" s="535">
        <v>0.36091999999999996</v>
      </c>
      <c r="V653" s="1025"/>
      <c r="W653" s="1025"/>
      <c r="X653" s="535">
        <v>0.056</v>
      </c>
      <c r="Y653" s="833" t="s">
        <v>413</v>
      </c>
      <c r="Z653" s="820"/>
      <c r="AA653" s="821"/>
      <c r="AB653" s="822"/>
      <c r="AC653" s="938" t="s">
        <v>413</v>
      </c>
      <c r="AD653" s="822" t="s">
        <v>413</v>
      </c>
      <c r="AE653" s="822"/>
      <c r="AF653" s="801">
        <v>9200</v>
      </c>
    </row>
    <row r="654" spans="1:32" ht="14.25">
      <c r="A654" s="496"/>
      <c r="B654" s="761"/>
      <c r="C654" s="496"/>
      <c r="D654" s="517"/>
      <c r="E654" s="504"/>
      <c r="F654" s="509"/>
      <c r="G654" s="1094"/>
      <c r="H654" s="520"/>
      <c r="I654" s="520"/>
      <c r="J654" s="770"/>
      <c r="K654" s="495"/>
      <c r="L654" s="496"/>
      <c r="M654" s="783"/>
      <c r="N654" s="500" t="s">
        <v>413</v>
      </c>
      <c r="O654" s="788" t="s">
        <v>413</v>
      </c>
      <c r="P654" s="810"/>
      <c r="Q654" s="622">
        <v>0.002</v>
      </c>
      <c r="R654" s="610">
        <v>1558.4</v>
      </c>
      <c r="S654" s="610">
        <v>84</v>
      </c>
      <c r="T654" s="1277" t="s">
        <v>413</v>
      </c>
      <c r="U654" s="643">
        <v>0.8372</v>
      </c>
      <c r="V654" s="520"/>
      <c r="W654" s="506"/>
      <c r="X654" s="643">
        <v>0.056</v>
      </c>
      <c r="Y654" s="823" t="s">
        <v>413</v>
      </c>
      <c r="Z654" s="831"/>
      <c r="AA654" s="866"/>
      <c r="AB654" s="802"/>
      <c r="AC654" s="939" t="s">
        <v>413</v>
      </c>
      <c r="AD654" s="826" t="s">
        <v>413</v>
      </c>
      <c r="AE654" s="826"/>
      <c r="AF654" s="802"/>
    </row>
    <row r="655" spans="1:32" ht="14.25">
      <c r="A655" s="994">
        <v>9201</v>
      </c>
      <c r="B655" s="991" t="s">
        <v>1501</v>
      </c>
      <c r="C655" s="991" t="s">
        <v>1223</v>
      </c>
      <c r="D655" s="1040"/>
      <c r="E655" s="1028">
        <v>332000</v>
      </c>
      <c r="F655" s="1049">
        <v>340</v>
      </c>
      <c r="G655" s="1066"/>
      <c r="H655" s="620"/>
      <c r="I655" s="620"/>
      <c r="J655" s="1031">
        <v>200</v>
      </c>
      <c r="K655" s="1032">
        <v>70</v>
      </c>
      <c r="L655" s="1251">
        <v>12</v>
      </c>
      <c r="M655" s="1232">
        <v>2800</v>
      </c>
      <c r="N655" s="1264">
        <v>0</v>
      </c>
      <c r="O655" s="815">
        <v>0.4</v>
      </c>
      <c r="P655" s="812">
        <v>102</v>
      </c>
      <c r="Q655" s="507">
        <v>0.02</v>
      </c>
      <c r="R655" s="201">
        <v>5357</v>
      </c>
      <c r="S655" s="201">
        <v>273</v>
      </c>
      <c r="T655" s="1278">
        <v>34422.66666666667</v>
      </c>
      <c r="U655" s="536">
        <v>2.87</v>
      </c>
      <c r="V655" s="613">
        <v>47.42857142857143</v>
      </c>
      <c r="W655" s="613">
        <v>86.436</v>
      </c>
      <c r="X655" s="536">
        <v>0.56</v>
      </c>
      <c r="Y655" s="827">
        <v>133.86457142857142</v>
      </c>
      <c r="Z655" s="891">
        <v>336.57569523809525</v>
      </c>
      <c r="AA655" s="838"/>
      <c r="AB655" s="830">
        <v>280</v>
      </c>
      <c r="AC655" s="940">
        <v>1164</v>
      </c>
      <c r="AD655" s="830" t="s">
        <v>483</v>
      </c>
      <c r="AE655" s="830">
        <v>1</v>
      </c>
      <c r="AF655" s="803">
        <v>9201</v>
      </c>
    </row>
    <row r="656" spans="1:32" ht="14.25">
      <c r="A656" s="154"/>
      <c r="B656" s="992"/>
      <c r="C656" s="992" t="s">
        <v>1534</v>
      </c>
      <c r="D656" s="510">
        <v>100</v>
      </c>
      <c r="E656" s="504"/>
      <c r="F656" s="509">
        <v>340</v>
      </c>
      <c r="G656" s="1065">
        <v>340</v>
      </c>
      <c r="H656" s="511">
        <v>300</v>
      </c>
      <c r="I656" s="511">
        <v>400</v>
      </c>
      <c r="J656" s="764"/>
      <c r="K656" s="145">
        <v>70</v>
      </c>
      <c r="L656" s="492"/>
      <c r="M656" s="780"/>
      <c r="N656" s="500"/>
      <c r="O656" s="788" t="s">
        <v>413</v>
      </c>
      <c r="P656" s="492"/>
      <c r="Q656" s="609">
        <v>0.02</v>
      </c>
      <c r="R656" s="610">
        <v>6781.666666666667</v>
      </c>
      <c r="S656" s="610">
        <v>273</v>
      </c>
      <c r="T656" s="1277" t="s">
        <v>413</v>
      </c>
      <c r="U656" s="643">
        <v>2.873866666666667</v>
      </c>
      <c r="V656" s="506"/>
      <c r="W656" s="506"/>
      <c r="X656" s="643">
        <v>0.56</v>
      </c>
      <c r="Y656" s="823" t="s">
        <v>413</v>
      </c>
      <c r="Z656" s="892"/>
      <c r="AA656" s="861"/>
      <c r="AB656" s="826"/>
      <c r="AC656" s="939" t="s">
        <v>413</v>
      </c>
      <c r="AD656" s="826" t="s">
        <v>413</v>
      </c>
      <c r="AE656" s="826"/>
      <c r="AF656" s="804"/>
    </row>
    <row r="657" spans="1:32" ht="14.25">
      <c r="A657" s="990"/>
      <c r="B657" s="991"/>
      <c r="C657" s="991" t="s">
        <v>1535</v>
      </c>
      <c r="D657" s="1040">
        <v>286</v>
      </c>
      <c r="E657" s="1028"/>
      <c r="F657" s="1041">
        <v>310</v>
      </c>
      <c r="G657" s="1066"/>
      <c r="H657" s="620"/>
      <c r="I657" s="620"/>
      <c r="J657" s="1031"/>
      <c r="K657" s="1032">
        <v>45</v>
      </c>
      <c r="L657" s="1251"/>
      <c r="M657" s="1232"/>
      <c r="N657" s="1264"/>
      <c r="O657" s="815" t="s">
        <v>413</v>
      </c>
      <c r="P657" s="812"/>
      <c r="Q657" s="507">
        <v>0.02</v>
      </c>
      <c r="R657" s="201">
        <v>6331</v>
      </c>
      <c r="S657" s="201">
        <v>378</v>
      </c>
      <c r="T657" s="1278" t="s">
        <v>413</v>
      </c>
      <c r="U657" s="536">
        <v>4.081764705882353</v>
      </c>
      <c r="V657" s="613"/>
      <c r="W657" s="613"/>
      <c r="X657" s="536">
        <v>0.56</v>
      </c>
      <c r="Y657" s="827" t="s">
        <v>413</v>
      </c>
      <c r="Z657" s="891"/>
      <c r="AA657" s="838"/>
      <c r="AB657" s="830"/>
      <c r="AC657" s="940" t="s">
        <v>413</v>
      </c>
      <c r="AD657" s="830" t="s">
        <v>413</v>
      </c>
      <c r="AE657" s="830"/>
      <c r="AF657" s="803"/>
    </row>
    <row r="658" spans="1:32" ht="14.25">
      <c r="A658" s="1014">
        <v>9202</v>
      </c>
      <c r="B658" s="992" t="s">
        <v>1501</v>
      </c>
      <c r="C658" s="992" t="s">
        <v>1035</v>
      </c>
      <c r="D658" s="510"/>
      <c r="E658" s="504">
        <v>402000</v>
      </c>
      <c r="F658" s="621">
        <v>430</v>
      </c>
      <c r="G658" s="1065"/>
      <c r="H658" s="511"/>
      <c r="I658" s="511"/>
      <c r="J658" s="764">
        <v>180</v>
      </c>
      <c r="K658" s="145">
        <v>70</v>
      </c>
      <c r="L658" s="492">
        <v>12</v>
      </c>
      <c r="M658" s="780">
        <v>2800</v>
      </c>
      <c r="N658" s="500">
        <v>0.1</v>
      </c>
      <c r="O658" s="788">
        <v>0.45</v>
      </c>
      <c r="P658" s="492">
        <v>113</v>
      </c>
      <c r="Q658" s="609">
        <v>0.02</v>
      </c>
      <c r="R658" s="610">
        <v>6720.6</v>
      </c>
      <c r="S658" s="610">
        <v>378</v>
      </c>
      <c r="T658" s="1277">
        <v>38564</v>
      </c>
      <c r="U658" s="643">
        <v>3.6683000000000003</v>
      </c>
      <c r="V658" s="506">
        <v>64.60714285714286</v>
      </c>
      <c r="W658" s="506">
        <v>111.132</v>
      </c>
      <c r="X658" s="643">
        <v>0.56</v>
      </c>
      <c r="Y658" s="823">
        <v>175.73914285714287</v>
      </c>
      <c r="Z658" s="892">
        <v>428.9819460317461</v>
      </c>
      <c r="AA658" s="861"/>
      <c r="AB658" s="826">
        <v>360</v>
      </c>
      <c r="AC658" s="939">
        <v>1304</v>
      </c>
      <c r="AD658" s="826" t="s">
        <v>483</v>
      </c>
      <c r="AE658" s="826">
        <v>1</v>
      </c>
      <c r="AF658" s="806">
        <v>9202</v>
      </c>
    </row>
    <row r="659" spans="1:32" ht="14.25">
      <c r="A659" s="990"/>
      <c r="B659" s="991"/>
      <c r="C659" s="991" t="s">
        <v>1536</v>
      </c>
      <c r="D659" s="1040">
        <v>140</v>
      </c>
      <c r="E659" s="1028"/>
      <c r="F659" s="1041">
        <v>430</v>
      </c>
      <c r="G659" s="1066">
        <v>310</v>
      </c>
      <c r="H659" s="620">
        <v>270</v>
      </c>
      <c r="I659" s="620">
        <v>360</v>
      </c>
      <c r="J659" s="1031"/>
      <c r="K659" s="1032">
        <v>70</v>
      </c>
      <c r="L659" s="1251"/>
      <c r="M659" s="1232"/>
      <c r="N659" s="1264"/>
      <c r="O659" s="815" t="s">
        <v>413</v>
      </c>
      <c r="P659" s="812"/>
      <c r="Q659" s="513">
        <v>0.005</v>
      </c>
      <c r="R659" s="201">
        <v>15681.4</v>
      </c>
      <c r="S659" s="201">
        <v>546</v>
      </c>
      <c r="T659" s="1278" t="s">
        <v>413</v>
      </c>
      <c r="U659" s="537">
        <v>4.16235</v>
      </c>
      <c r="V659" s="613"/>
      <c r="W659" s="613"/>
      <c r="X659" s="537">
        <v>0.14</v>
      </c>
      <c r="Y659" s="827" t="s">
        <v>413</v>
      </c>
      <c r="Z659" s="891"/>
      <c r="AA659" s="838"/>
      <c r="AB659" s="830"/>
      <c r="AC659" s="940" t="s">
        <v>413</v>
      </c>
      <c r="AD659" s="830" t="s">
        <v>413</v>
      </c>
      <c r="AE659" s="830"/>
      <c r="AF659" s="803"/>
    </row>
    <row r="660" spans="1:32" ht="14.25">
      <c r="A660" s="154"/>
      <c r="B660" s="992"/>
      <c r="C660" s="992" t="s">
        <v>1537</v>
      </c>
      <c r="D660" s="510">
        <v>200</v>
      </c>
      <c r="E660" s="504"/>
      <c r="F660" s="509">
        <v>470</v>
      </c>
      <c r="G660" s="1065">
        <v>240</v>
      </c>
      <c r="H660" s="511">
        <v>190</v>
      </c>
      <c r="I660" s="511">
        <v>250</v>
      </c>
      <c r="J660" s="764"/>
      <c r="K660" s="145">
        <v>85</v>
      </c>
      <c r="L660" s="492"/>
      <c r="M660" s="780"/>
      <c r="N660" s="500"/>
      <c r="O660" s="788" t="s">
        <v>413</v>
      </c>
      <c r="P660" s="492"/>
      <c r="Q660" s="622">
        <v>0.005</v>
      </c>
      <c r="R660" s="610">
        <v>18311.2</v>
      </c>
      <c r="S660" s="610">
        <v>651</v>
      </c>
      <c r="T660" s="1277" t="s">
        <v>413</v>
      </c>
      <c r="U660" s="644">
        <v>6.4794</v>
      </c>
      <c r="V660" s="506"/>
      <c r="W660" s="506"/>
      <c r="X660" s="644">
        <v>0.14</v>
      </c>
      <c r="Y660" s="823" t="s">
        <v>413</v>
      </c>
      <c r="Z660" s="892"/>
      <c r="AA660" s="861"/>
      <c r="AB660" s="826"/>
      <c r="AC660" s="939" t="s">
        <v>413</v>
      </c>
      <c r="AD660" s="826" t="s">
        <v>413</v>
      </c>
      <c r="AE660" s="826"/>
      <c r="AF660" s="804"/>
    </row>
    <row r="661" spans="1:32" ht="14.25">
      <c r="A661" s="990"/>
      <c r="B661" s="991"/>
      <c r="C661" s="991" t="s">
        <v>1535</v>
      </c>
      <c r="D661" s="1040">
        <v>360</v>
      </c>
      <c r="E661" s="1028"/>
      <c r="F661" s="1041">
        <v>390</v>
      </c>
      <c r="G661" s="1066"/>
      <c r="H661" s="620"/>
      <c r="I661" s="620"/>
      <c r="J661" s="1031"/>
      <c r="K661" s="1032">
        <v>45</v>
      </c>
      <c r="L661" s="1251"/>
      <c r="M661" s="1232"/>
      <c r="N661" s="1264"/>
      <c r="O661" s="815" t="s">
        <v>413</v>
      </c>
      <c r="P661" s="812"/>
      <c r="Q661" s="538">
        <v>0.01</v>
      </c>
      <c r="R661" s="201">
        <v>11689.6</v>
      </c>
      <c r="S661" s="201">
        <v>742</v>
      </c>
      <c r="T661" s="1278" t="s">
        <v>413</v>
      </c>
      <c r="U661" s="536">
        <v>5.09584</v>
      </c>
      <c r="V661" s="613"/>
      <c r="W661" s="613"/>
      <c r="X661" s="536">
        <v>0.28</v>
      </c>
      <c r="Y661" s="827" t="s">
        <v>413</v>
      </c>
      <c r="Z661" s="891"/>
      <c r="AA661" s="838"/>
      <c r="AB661" s="830"/>
      <c r="AC661" s="940" t="s">
        <v>413</v>
      </c>
      <c r="AD661" s="830" t="s">
        <v>413</v>
      </c>
      <c r="AE661" s="830"/>
      <c r="AF661" s="803"/>
    </row>
    <row r="662" spans="1:32" ht="14.25">
      <c r="A662" s="496"/>
      <c r="B662" s="761"/>
      <c r="C662" s="496"/>
      <c r="D662" s="510"/>
      <c r="E662" s="504"/>
      <c r="F662" s="509"/>
      <c r="G662" s="1065"/>
      <c r="H662" s="511"/>
      <c r="I662" s="511"/>
      <c r="J662" s="766"/>
      <c r="K662" s="495"/>
      <c r="L662" s="496"/>
      <c r="M662" s="766"/>
      <c r="N662" s="500" t="s">
        <v>413</v>
      </c>
      <c r="O662" s="788" t="s">
        <v>413</v>
      </c>
      <c r="P662" s="810"/>
      <c r="Q662" s="642">
        <v>0.002</v>
      </c>
      <c r="R662" s="610">
        <v>759.7199999999999</v>
      </c>
      <c r="S662" s="610">
        <v>84</v>
      </c>
      <c r="T662" s="1277" t="s">
        <v>413</v>
      </c>
      <c r="U662" s="643">
        <v>0.42966</v>
      </c>
      <c r="V662" s="511"/>
      <c r="W662" s="506"/>
      <c r="X662" s="643">
        <v>0.056</v>
      </c>
      <c r="Y662" s="823" t="s">
        <v>413</v>
      </c>
      <c r="Z662" s="831"/>
      <c r="AA662" s="861"/>
      <c r="AB662" s="802"/>
      <c r="AC662" s="939" t="s">
        <v>413</v>
      </c>
      <c r="AD662" s="826" t="s">
        <v>413</v>
      </c>
      <c r="AE662" s="826"/>
      <c r="AF662" s="802"/>
    </row>
    <row r="663" spans="1:32" ht="14.25">
      <c r="A663" s="987">
        <v>9220</v>
      </c>
      <c r="B663" s="988"/>
      <c r="C663" s="989" t="s">
        <v>786</v>
      </c>
      <c r="D663" s="1021"/>
      <c r="E663" s="1022"/>
      <c r="F663" s="1023"/>
      <c r="G663" s="1024"/>
      <c r="H663" s="1025"/>
      <c r="I663" s="1025"/>
      <c r="J663" s="1026"/>
      <c r="K663" s="1026"/>
      <c r="L663" s="1021"/>
      <c r="M663" s="1026"/>
      <c r="N663" s="1263" t="s">
        <v>413</v>
      </c>
      <c r="O663" s="816" t="s">
        <v>413</v>
      </c>
      <c r="P663" s="809"/>
      <c r="Q663" s="538">
        <v>0.01</v>
      </c>
      <c r="R663" s="201">
        <v>2399.666666666667</v>
      </c>
      <c r="S663" s="201">
        <v>252</v>
      </c>
      <c r="T663" s="1276" t="s">
        <v>413</v>
      </c>
      <c r="U663" s="536">
        <v>1.0790666666666668</v>
      </c>
      <c r="V663" s="1025"/>
      <c r="W663" s="1025"/>
      <c r="X663" s="536">
        <v>0.28</v>
      </c>
      <c r="Y663" s="833" t="s">
        <v>413</v>
      </c>
      <c r="Z663" s="820"/>
      <c r="AA663" s="821"/>
      <c r="AB663" s="822"/>
      <c r="AC663" s="938" t="s">
        <v>413</v>
      </c>
      <c r="AD663" s="822" t="s">
        <v>413</v>
      </c>
      <c r="AE663" s="822"/>
      <c r="AF663" s="801">
        <v>9220</v>
      </c>
    </row>
    <row r="664" spans="1:32" ht="14.25">
      <c r="A664" s="496"/>
      <c r="B664" s="761"/>
      <c r="C664" s="496"/>
      <c r="D664" s="510"/>
      <c r="E664" s="504"/>
      <c r="F664" s="509"/>
      <c r="G664" s="1065"/>
      <c r="H664" s="511"/>
      <c r="I664" s="511"/>
      <c r="J664" s="766"/>
      <c r="K664" s="495"/>
      <c r="L664" s="496"/>
      <c r="M664" s="766"/>
      <c r="N664" s="500" t="s">
        <v>413</v>
      </c>
      <c r="O664" s="788" t="s">
        <v>413</v>
      </c>
      <c r="P664" s="810"/>
      <c r="Q664" s="642">
        <v>0.01</v>
      </c>
      <c r="R664" s="610">
        <v>2435</v>
      </c>
      <c r="S664" s="610">
        <v>252</v>
      </c>
      <c r="T664" s="1277" t="s">
        <v>413</v>
      </c>
      <c r="U664" s="643">
        <v>1.3685</v>
      </c>
      <c r="V664" s="511"/>
      <c r="W664" s="506"/>
      <c r="X664" s="643">
        <v>0.28</v>
      </c>
      <c r="Y664" s="823" t="s">
        <v>413</v>
      </c>
      <c r="Z664" s="831"/>
      <c r="AA664" s="861"/>
      <c r="AB664" s="802"/>
      <c r="AC664" s="939" t="s">
        <v>413</v>
      </c>
      <c r="AD664" s="826" t="s">
        <v>413</v>
      </c>
      <c r="AE664" s="826"/>
      <c r="AF664" s="802"/>
    </row>
    <row r="665" spans="1:32" ht="14.25">
      <c r="A665" s="990">
        <v>9221</v>
      </c>
      <c r="B665" s="991"/>
      <c r="C665" s="991" t="s">
        <v>787</v>
      </c>
      <c r="D665" s="1040">
        <v>100</v>
      </c>
      <c r="E665" s="1028">
        <v>66000</v>
      </c>
      <c r="F665" s="1041">
        <v>80</v>
      </c>
      <c r="G665" s="1067">
        <v>80</v>
      </c>
      <c r="H665" s="1141"/>
      <c r="I665" s="620">
        <v>95</v>
      </c>
      <c r="J665" s="1043">
        <v>160</v>
      </c>
      <c r="K665" s="1032"/>
      <c r="L665" s="1251">
        <v>10</v>
      </c>
      <c r="M665" s="1252">
        <v>2000</v>
      </c>
      <c r="N665" s="1264">
        <v>0.1</v>
      </c>
      <c r="O665" s="815">
        <v>0.75</v>
      </c>
      <c r="P665" s="812">
        <v>42</v>
      </c>
      <c r="Q665" s="538">
        <v>0.01</v>
      </c>
      <c r="R665" s="201">
        <v>4188.2</v>
      </c>
      <c r="S665" s="201">
        <v>273</v>
      </c>
      <c r="T665" s="1278">
        <v>7380</v>
      </c>
      <c r="U665" s="537">
        <v>3.0314666666666668</v>
      </c>
      <c r="V665" s="620">
        <v>24.75</v>
      </c>
      <c r="W665" s="620"/>
      <c r="X665" s="537">
        <v>0.28</v>
      </c>
      <c r="Y665" s="846">
        <v>24.75</v>
      </c>
      <c r="Z665" s="828">
        <v>77.9625</v>
      </c>
      <c r="AA665" s="838">
        <v>77.9625</v>
      </c>
      <c r="AB665" s="893"/>
      <c r="AC665" s="940">
        <v>132</v>
      </c>
      <c r="AD665" s="830" t="s">
        <v>484</v>
      </c>
      <c r="AE665" s="830">
        <v>0</v>
      </c>
      <c r="AF665" s="803">
        <v>9221</v>
      </c>
    </row>
    <row r="666" spans="1:32" ht="14.25">
      <c r="A666" s="154">
        <v>9222</v>
      </c>
      <c r="B666" s="992"/>
      <c r="C666" s="992" t="s">
        <v>788</v>
      </c>
      <c r="D666" s="510">
        <v>140</v>
      </c>
      <c r="E666" s="504">
        <v>81000</v>
      </c>
      <c r="F666" s="509">
        <v>110</v>
      </c>
      <c r="G666" s="1068">
        <v>75</v>
      </c>
      <c r="H666" s="1140"/>
      <c r="I666" s="511">
        <v>90</v>
      </c>
      <c r="J666" s="766">
        <v>200</v>
      </c>
      <c r="L666" s="492">
        <v>10</v>
      </c>
      <c r="M666" s="782">
        <v>3000</v>
      </c>
      <c r="N666" s="500">
        <v>0.1</v>
      </c>
      <c r="O666" s="788">
        <v>0.8</v>
      </c>
      <c r="P666" s="492">
        <v>42</v>
      </c>
      <c r="Q666" s="642">
        <v>0.01</v>
      </c>
      <c r="R666" s="610">
        <v>33720</v>
      </c>
      <c r="S666" s="610">
        <v>868</v>
      </c>
      <c r="T666" s="1277">
        <v>9000</v>
      </c>
      <c r="U666" s="643">
        <v>5.8646666666666665</v>
      </c>
      <c r="V666" s="511">
        <v>21.6</v>
      </c>
      <c r="W666" s="511"/>
      <c r="X666" s="643">
        <v>0.28</v>
      </c>
      <c r="Y666" s="848">
        <v>21.6</v>
      </c>
      <c r="Z666" s="831">
        <v>102.56400000000002</v>
      </c>
      <c r="AA666" s="861">
        <v>73.26</v>
      </c>
      <c r="AB666" s="894"/>
      <c r="AC666" s="939">
        <v>162</v>
      </c>
      <c r="AD666" s="826" t="s">
        <v>484</v>
      </c>
      <c r="AE666" s="826">
        <v>0</v>
      </c>
      <c r="AF666" s="804">
        <v>9222</v>
      </c>
    </row>
    <row r="667" spans="1:32" ht="14.25">
      <c r="A667" s="990">
        <v>9223</v>
      </c>
      <c r="B667" s="991"/>
      <c r="C667" s="991" t="s">
        <v>789</v>
      </c>
      <c r="D667" s="1040">
        <v>200</v>
      </c>
      <c r="E667" s="1028">
        <v>118000</v>
      </c>
      <c r="F667" s="1041">
        <v>140</v>
      </c>
      <c r="G667" s="1067">
        <v>70</v>
      </c>
      <c r="H667" s="1141"/>
      <c r="I667" s="620">
        <v>89</v>
      </c>
      <c r="J667" s="1043">
        <v>290</v>
      </c>
      <c r="K667" s="1032"/>
      <c r="L667" s="1251">
        <v>10</v>
      </c>
      <c r="M667" s="1252">
        <v>4000</v>
      </c>
      <c r="N667" s="1264">
        <v>0.1</v>
      </c>
      <c r="O667" s="815">
        <v>0.7</v>
      </c>
      <c r="P667" s="812">
        <v>60</v>
      </c>
      <c r="Q667" s="513">
        <v>0.001</v>
      </c>
      <c r="R667" s="201">
        <v>573.65</v>
      </c>
      <c r="S667" s="201">
        <v>385</v>
      </c>
      <c r="T667" s="1278">
        <v>13104</v>
      </c>
      <c r="U667" s="535">
        <v>0.13915</v>
      </c>
      <c r="V667" s="620">
        <v>20.65</v>
      </c>
      <c r="W667" s="620"/>
      <c r="X667" s="535">
        <v>0.028</v>
      </c>
      <c r="Y667" s="846">
        <v>20.65</v>
      </c>
      <c r="Z667" s="828">
        <v>144.83965517241379</v>
      </c>
      <c r="AA667" s="838">
        <v>72.41982758620689</v>
      </c>
      <c r="AB667" s="893"/>
      <c r="AC667" s="940">
        <v>236</v>
      </c>
      <c r="AD667" s="830" t="s">
        <v>484</v>
      </c>
      <c r="AE667" s="830">
        <v>0</v>
      </c>
      <c r="AF667" s="803">
        <v>9223</v>
      </c>
    </row>
    <row r="668" spans="1:32" ht="14.25">
      <c r="A668" s="1014">
        <v>9224</v>
      </c>
      <c r="B668" s="992"/>
      <c r="C668" s="992" t="s">
        <v>1538</v>
      </c>
      <c r="D668" s="510">
        <v>286</v>
      </c>
      <c r="E668" s="504">
        <v>30000</v>
      </c>
      <c r="F668" s="621">
        <v>104</v>
      </c>
      <c r="G668" s="1068"/>
      <c r="H668" s="506">
        <v>87</v>
      </c>
      <c r="I668" s="506">
        <v>131</v>
      </c>
      <c r="J668" s="764">
        <v>40</v>
      </c>
      <c r="L668" s="492">
        <v>10</v>
      </c>
      <c r="M668" s="780">
        <v>2800</v>
      </c>
      <c r="N668" s="500">
        <v>0.25</v>
      </c>
      <c r="O668" s="788">
        <v>1.75</v>
      </c>
      <c r="P668" s="492">
        <v>31</v>
      </c>
      <c r="Q668" s="622">
        <v>0.001</v>
      </c>
      <c r="R668" s="610">
        <v>594.14</v>
      </c>
      <c r="S668" s="610">
        <v>252</v>
      </c>
      <c r="T668" s="1277">
        <v>3021</v>
      </c>
      <c r="U668" s="645">
        <v>0.12262</v>
      </c>
      <c r="V668" s="506">
        <v>18.75</v>
      </c>
      <c r="W668" s="511"/>
      <c r="X668" s="645">
        <v>0.028</v>
      </c>
      <c r="Y668" s="823">
        <v>18.75</v>
      </c>
      <c r="Z668" s="831">
        <v>103.70250000000001</v>
      </c>
      <c r="AA668" s="861"/>
      <c r="AB668" s="894"/>
      <c r="AC668" s="939">
        <v>60</v>
      </c>
      <c r="AD668" s="826" t="s">
        <v>484</v>
      </c>
      <c r="AE668" s="826">
        <v>0</v>
      </c>
      <c r="AF668" s="806">
        <v>9224</v>
      </c>
    </row>
    <row r="669" spans="1:32" ht="14.25">
      <c r="A669" s="994">
        <v>9225</v>
      </c>
      <c r="B669" s="991"/>
      <c r="C669" s="991" t="s">
        <v>1539</v>
      </c>
      <c r="D669" s="1040">
        <v>360</v>
      </c>
      <c r="E669" s="1028">
        <v>32000</v>
      </c>
      <c r="F669" s="1049">
        <v>113</v>
      </c>
      <c r="G669" s="1067"/>
      <c r="H669" s="613">
        <v>96</v>
      </c>
      <c r="I669" s="613">
        <v>143</v>
      </c>
      <c r="J669" s="1031">
        <v>40</v>
      </c>
      <c r="K669" s="1032"/>
      <c r="L669" s="1251">
        <v>10</v>
      </c>
      <c r="M669" s="1232">
        <v>2800</v>
      </c>
      <c r="N669" s="1264">
        <v>0.25</v>
      </c>
      <c r="O669" s="815">
        <v>2</v>
      </c>
      <c r="P669" s="812">
        <v>31</v>
      </c>
      <c r="Q669" s="513">
        <v>0.001</v>
      </c>
      <c r="R669" s="201">
        <v>3409</v>
      </c>
      <c r="S669" s="201">
        <v>707</v>
      </c>
      <c r="T669" s="1278">
        <v>3210</v>
      </c>
      <c r="U669" s="535">
        <v>0.322</v>
      </c>
      <c r="V669" s="613">
        <v>22.857142857142858</v>
      </c>
      <c r="W669" s="620"/>
      <c r="X669" s="535">
        <v>0.028</v>
      </c>
      <c r="Y669" s="827">
        <v>22.857142857142858</v>
      </c>
      <c r="Z669" s="828">
        <v>113.41785714285716</v>
      </c>
      <c r="AA669" s="838"/>
      <c r="AB669" s="893"/>
      <c r="AC669" s="940">
        <v>64</v>
      </c>
      <c r="AD669" s="830" t="s">
        <v>484</v>
      </c>
      <c r="AE669" s="830">
        <v>0</v>
      </c>
      <c r="AF669" s="803">
        <v>9225</v>
      </c>
    </row>
    <row r="670" spans="1:32" ht="14.25">
      <c r="A670" s="154"/>
      <c r="B670" s="992"/>
      <c r="C670" s="992"/>
      <c r="D670" s="510"/>
      <c r="E670" s="504"/>
      <c r="F670" s="509"/>
      <c r="G670" s="1065"/>
      <c r="H670" s="511"/>
      <c r="I670" s="511"/>
      <c r="J670" s="766"/>
      <c r="L670" s="492"/>
      <c r="M670" s="766"/>
      <c r="N670" s="500" t="s">
        <v>413</v>
      </c>
      <c r="O670" s="788" t="s">
        <v>413</v>
      </c>
      <c r="P670" s="492"/>
      <c r="Q670" s="609">
        <v>0.05</v>
      </c>
      <c r="R670" s="610">
        <v>1490</v>
      </c>
      <c r="S670" s="610">
        <v>714</v>
      </c>
      <c r="T670" s="1277" t="s">
        <v>413</v>
      </c>
      <c r="U670" s="633">
        <v>28.05</v>
      </c>
      <c r="V670" s="511"/>
      <c r="W670" s="506"/>
      <c r="X670" s="633">
        <v>1.4000000000000001</v>
      </c>
      <c r="Y670" s="823" t="s">
        <v>413</v>
      </c>
      <c r="Z670" s="834"/>
      <c r="AA670" s="875"/>
      <c r="AB670" s="865"/>
      <c r="AC670" s="939" t="s">
        <v>413</v>
      </c>
      <c r="AD670" s="826" t="s">
        <v>413</v>
      </c>
      <c r="AE670" s="826"/>
      <c r="AF670" s="804"/>
    </row>
    <row r="671" spans="1:32" ht="28.5">
      <c r="A671" s="997"/>
      <c r="B671" s="998"/>
      <c r="C671" s="999" t="s">
        <v>1360</v>
      </c>
      <c r="D671" s="1106"/>
      <c r="E671" s="1058"/>
      <c r="F671" s="1059"/>
      <c r="G671" s="1190"/>
      <c r="H671" s="1061"/>
      <c r="I671" s="1061"/>
      <c r="J671" s="1062"/>
      <c r="K671" s="1063"/>
      <c r="L671" s="1253"/>
      <c r="M671" s="1062"/>
      <c r="N671" s="1265" t="s">
        <v>413</v>
      </c>
      <c r="O671" s="817" t="s">
        <v>413</v>
      </c>
      <c r="P671" s="813"/>
      <c r="Q671" s="538">
        <v>0.01</v>
      </c>
      <c r="R671" s="201">
        <v>2554.4</v>
      </c>
      <c r="S671" s="201">
        <v>721</v>
      </c>
      <c r="T671" s="1280" t="s">
        <v>413</v>
      </c>
      <c r="U671" s="536">
        <v>3.3374</v>
      </c>
      <c r="V671" s="1108"/>
      <c r="W671" s="1061"/>
      <c r="X671" s="536">
        <v>0.28</v>
      </c>
      <c r="Y671" s="856" t="s">
        <v>413</v>
      </c>
      <c r="Z671" s="857"/>
      <c r="AA671" s="904"/>
      <c r="AB671" s="859"/>
      <c r="AC671" s="942" t="s">
        <v>413</v>
      </c>
      <c r="AD671" s="859" t="s">
        <v>413</v>
      </c>
      <c r="AE671" s="859"/>
      <c r="AF671" s="805"/>
    </row>
    <row r="672" spans="1:32" ht="14.25">
      <c r="A672" s="496"/>
      <c r="B672" s="761"/>
      <c r="C672" s="496"/>
      <c r="D672" s="503"/>
      <c r="E672" s="504"/>
      <c r="F672" s="509"/>
      <c r="G672" s="495"/>
      <c r="H672" s="506"/>
      <c r="I672" s="506"/>
      <c r="J672" s="764"/>
      <c r="K672" s="495"/>
      <c r="L672" s="496"/>
      <c r="M672" s="780"/>
      <c r="N672" s="500" t="s">
        <v>413</v>
      </c>
      <c r="O672" s="788" t="s">
        <v>413</v>
      </c>
      <c r="P672" s="810"/>
      <c r="Q672" s="642">
        <v>0.01</v>
      </c>
      <c r="R672" s="610">
        <v>2966.4</v>
      </c>
      <c r="S672" s="610">
        <v>721</v>
      </c>
      <c r="T672" s="1277" t="s">
        <v>413</v>
      </c>
      <c r="U672" s="644">
        <v>3.7594000000000003</v>
      </c>
      <c r="V672" s="506"/>
      <c r="W672" s="506"/>
      <c r="X672" s="644">
        <v>0.28</v>
      </c>
      <c r="Y672" s="823" t="s">
        <v>413</v>
      </c>
      <c r="Z672" s="831"/>
      <c r="AA672" s="850"/>
      <c r="AB672" s="802"/>
      <c r="AC672" s="939" t="s">
        <v>413</v>
      </c>
      <c r="AD672" s="826" t="s">
        <v>413</v>
      </c>
      <c r="AE672" s="826"/>
      <c r="AF672" s="802"/>
    </row>
    <row r="673" spans="1:32" ht="14.25">
      <c r="A673" s="987">
        <v>10000</v>
      </c>
      <c r="B673" s="988"/>
      <c r="C673" s="989" t="s">
        <v>790</v>
      </c>
      <c r="D673" s="1021"/>
      <c r="E673" s="1022"/>
      <c r="F673" s="1023"/>
      <c r="G673" s="1024"/>
      <c r="H673" s="1025"/>
      <c r="I673" s="1025"/>
      <c r="J673" s="1026"/>
      <c r="K673" s="1026"/>
      <c r="L673" s="1021"/>
      <c r="M673" s="1026"/>
      <c r="N673" s="1263" t="s">
        <v>413</v>
      </c>
      <c r="O673" s="816" t="s">
        <v>413</v>
      </c>
      <c r="P673" s="809"/>
      <c r="Q673" s="507"/>
      <c r="R673" s="201" t="s">
        <v>413</v>
      </c>
      <c r="S673" s="201"/>
      <c r="T673" s="1276" t="s">
        <v>413</v>
      </c>
      <c r="U673" s="520"/>
      <c r="V673" s="1025"/>
      <c r="W673" s="1025"/>
      <c r="X673" s="520"/>
      <c r="Y673" s="833" t="s">
        <v>413</v>
      </c>
      <c r="Z673" s="820"/>
      <c r="AA673" s="821"/>
      <c r="AB673" s="822"/>
      <c r="AC673" s="938" t="s">
        <v>413</v>
      </c>
      <c r="AD673" s="822" t="s">
        <v>413</v>
      </c>
      <c r="AE673" s="822"/>
      <c r="AF673" s="801">
        <v>10000</v>
      </c>
    </row>
    <row r="674" spans="1:32" ht="14.25">
      <c r="A674" s="496"/>
      <c r="B674" s="761"/>
      <c r="C674" s="496"/>
      <c r="D674" s="503"/>
      <c r="E674" s="504"/>
      <c r="F674" s="509"/>
      <c r="G674" s="495"/>
      <c r="H674" s="506"/>
      <c r="I674" s="506"/>
      <c r="J674" s="764"/>
      <c r="K674" s="495"/>
      <c r="L674" s="496"/>
      <c r="M674" s="780"/>
      <c r="N674" s="500" t="s">
        <v>413</v>
      </c>
      <c r="O674" s="788" t="s">
        <v>413</v>
      </c>
      <c r="P674" s="810"/>
      <c r="Q674" s="603"/>
      <c r="R674" s="605" t="s">
        <v>413</v>
      </c>
      <c r="S674" s="606"/>
      <c r="T674" s="1277" t="s">
        <v>413</v>
      </c>
      <c r="U674" s="604"/>
      <c r="V674" s="506"/>
      <c r="W674" s="506"/>
      <c r="X674" s="604"/>
      <c r="Y674" s="823" t="s">
        <v>413</v>
      </c>
      <c r="Z674" s="831"/>
      <c r="AA674" s="850"/>
      <c r="AB674" s="802"/>
      <c r="AC674" s="939" t="s">
        <v>413</v>
      </c>
      <c r="AD674" s="826" t="s">
        <v>413</v>
      </c>
      <c r="AE674" s="826"/>
      <c r="AF674" s="802"/>
    </row>
    <row r="675" spans="1:32" ht="14.25">
      <c r="A675" s="990">
        <v>10001</v>
      </c>
      <c r="B675" s="991"/>
      <c r="C675" s="991" t="s">
        <v>791</v>
      </c>
      <c r="D675" s="1040" t="s">
        <v>347</v>
      </c>
      <c r="E675" s="1028">
        <v>12000</v>
      </c>
      <c r="F675" s="1049">
        <v>24</v>
      </c>
      <c r="G675" s="1052"/>
      <c r="H675" s="613">
        <v>21</v>
      </c>
      <c r="I675" s="613">
        <v>29</v>
      </c>
      <c r="J675" s="1031">
        <v>100</v>
      </c>
      <c r="K675" s="1032" t="s">
        <v>347</v>
      </c>
      <c r="L675" s="1251">
        <v>12</v>
      </c>
      <c r="M675" s="1232">
        <v>1200</v>
      </c>
      <c r="N675" s="1264">
        <v>0</v>
      </c>
      <c r="O675" s="815">
        <v>0.85</v>
      </c>
      <c r="P675" s="812">
        <v>17</v>
      </c>
      <c r="Q675" s="507"/>
      <c r="R675" s="201" t="s">
        <v>413</v>
      </c>
      <c r="S675" s="201"/>
      <c r="T675" s="1278">
        <v>1306</v>
      </c>
      <c r="U675" s="520"/>
      <c r="V675" s="613">
        <v>8.5</v>
      </c>
      <c r="W675" s="613"/>
      <c r="X675" s="520"/>
      <c r="Y675" s="827">
        <v>8.5</v>
      </c>
      <c r="Z675" s="828">
        <v>23.716000000000005</v>
      </c>
      <c r="AA675" s="869"/>
      <c r="AB675" s="830"/>
      <c r="AC675" s="940">
        <v>24</v>
      </c>
      <c r="AD675" s="830" t="s">
        <v>483</v>
      </c>
      <c r="AE675" s="830">
        <v>0</v>
      </c>
      <c r="AF675" s="803">
        <v>10001</v>
      </c>
    </row>
    <row r="676" spans="1:32" ht="14.25">
      <c r="A676" s="154">
        <v>10002</v>
      </c>
      <c r="B676" s="992"/>
      <c r="C676" s="992" t="s">
        <v>792</v>
      </c>
      <c r="D676" s="510" t="s">
        <v>352</v>
      </c>
      <c r="E676" s="504">
        <v>10300</v>
      </c>
      <c r="F676" s="621">
        <v>30</v>
      </c>
      <c r="G676" s="1053"/>
      <c r="H676" s="506">
        <v>25</v>
      </c>
      <c r="I676" s="506">
        <v>37</v>
      </c>
      <c r="J676" s="764">
        <v>50</v>
      </c>
      <c r="K676" s="145" t="s">
        <v>347</v>
      </c>
      <c r="L676" s="492">
        <v>12</v>
      </c>
      <c r="M676" s="780">
        <v>1000</v>
      </c>
      <c r="N676" s="500">
        <v>0.1</v>
      </c>
      <c r="O676" s="788">
        <v>0.6</v>
      </c>
      <c r="P676" s="492">
        <v>13</v>
      </c>
      <c r="Q676" s="609">
        <v>0.5</v>
      </c>
      <c r="R676" s="610">
        <v>1131</v>
      </c>
      <c r="S676" s="610">
        <v>224</v>
      </c>
      <c r="T676" s="1277">
        <v>1035.9</v>
      </c>
      <c r="U676" s="620">
        <v>197.28571428571428</v>
      </c>
      <c r="V676" s="506">
        <v>6.180000000000001</v>
      </c>
      <c r="W676" s="506"/>
      <c r="X676" s="620">
        <v>14</v>
      </c>
      <c r="Y676" s="823">
        <v>6.180000000000001</v>
      </c>
      <c r="Z676" s="831">
        <v>29.587800000000005</v>
      </c>
      <c r="AA676" s="866"/>
      <c r="AB676" s="826"/>
      <c r="AC676" s="939">
        <v>20.6</v>
      </c>
      <c r="AD676" s="826" t="s">
        <v>483</v>
      </c>
      <c r="AE676" s="826">
        <v>0</v>
      </c>
      <c r="AF676" s="804">
        <v>10002</v>
      </c>
    </row>
    <row r="677" spans="1:32" ht="14.25">
      <c r="A677" s="990">
        <v>10003</v>
      </c>
      <c r="B677" s="991"/>
      <c r="C677" s="991" t="s">
        <v>793</v>
      </c>
      <c r="D677" s="1086">
        <v>4</v>
      </c>
      <c r="E677" s="1028">
        <v>33000</v>
      </c>
      <c r="F677" s="1049">
        <v>78</v>
      </c>
      <c r="G677" s="1191">
        <v>20</v>
      </c>
      <c r="H677" s="613">
        <v>65</v>
      </c>
      <c r="I677" s="613">
        <v>99</v>
      </c>
      <c r="J677" s="1031">
        <v>50</v>
      </c>
      <c r="K677" s="1032" t="s">
        <v>347</v>
      </c>
      <c r="L677" s="1251">
        <v>15</v>
      </c>
      <c r="M677" s="1232">
        <v>2000</v>
      </c>
      <c r="N677" s="1264">
        <v>0.25</v>
      </c>
      <c r="O677" s="815">
        <v>0.75</v>
      </c>
      <c r="P677" s="812">
        <v>103</v>
      </c>
      <c r="Q677" s="507">
        <v>0.25</v>
      </c>
      <c r="R677" s="201">
        <v>4188.2</v>
      </c>
      <c r="S677" s="201">
        <v>385</v>
      </c>
      <c r="T677" s="1278">
        <v>2911.5</v>
      </c>
      <c r="U677" s="511">
        <v>232.95999999999998</v>
      </c>
      <c r="V677" s="613">
        <v>12.375</v>
      </c>
      <c r="W677" s="613"/>
      <c r="X677" s="511">
        <v>7</v>
      </c>
      <c r="Y677" s="827">
        <v>12.375</v>
      </c>
      <c r="Z677" s="828">
        <v>77.6655</v>
      </c>
      <c r="AA677" s="869">
        <v>19.416375</v>
      </c>
      <c r="AB677" s="830"/>
      <c r="AC677" s="940">
        <v>66</v>
      </c>
      <c r="AD677" s="830" t="s">
        <v>483</v>
      </c>
      <c r="AE677" s="830">
        <v>0</v>
      </c>
      <c r="AF677" s="803">
        <v>10003</v>
      </c>
    </row>
    <row r="678" spans="1:32" ht="14.25">
      <c r="A678" s="154">
        <v>10004</v>
      </c>
      <c r="B678" s="992"/>
      <c r="C678" s="992" t="s">
        <v>794</v>
      </c>
      <c r="D678" s="517">
        <v>4</v>
      </c>
      <c r="E678" s="504">
        <v>4500</v>
      </c>
      <c r="F678" s="621">
        <v>16</v>
      </c>
      <c r="G678" s="1192">
        <v>4</v>
      </c>
      <c r="H678" s="506">
        <v>13.5</v>
      </c>
      <c r="I678" s="506">
        <v>19.5</v>
      </c>
      <c r="J678" s="764">
        <v>50</v>
      </c>
      <c r="K678" s="145" t="s">
        <v>347</v>
      </c>
      <c r="L678" s="492">
        <v>12</v>
      </c>
      <c r="M678" s="780">
        <v>1000</v>
      </c>
      <c r="N678" s="500">
        <v>0.1</v>
      </c>
      <c r="O678" s="788">
        <v>0.9</v>
      </c>
      <c r="P678" s="492">
        <v>15</v>
      </c>
      <c r="Q678" s="609">
        <v>0.25</v>
      </c>
      <c r="R678" s="610">
        <v>3311.6</v>
      </c>
      <c r="S678" s="610">
        <v>385</v>
      </c>
      <c r="T678" s="1277">
        <v>508.5</v>
      </c>
      <c r="U678" s="620">
        <v>188.23</v>
      </c>
      <c r="V678" s="506">
        <v>4.05</v>
      </c>
      <c r="W678" s="506"/>
      <c r="X678" s="620">
        <v>7</v>
      </c>
      <c r="Y678" s="823">
        <v>4.05</v>
      </c>
      <c r="Z678" s="831">
        <v>15.642</v>
      </c>
      <c r="AA678" s="866">
        <v>3.9105</v>
      </c>
      <c r="AB678" s="826"/>
      <c r="AC678" s="939">
        <v>9</v>
      </c>
      <c r="AD678" s="826" t="s">
        <v>483</v>
      </c>
      <c r="AE678" s="826">
        <v>0</v>
      </c>
      <c r="AF678" s="804">
        <v>10004</v>
      </c>
    </row>
    <row r="679" spans="1:32" ht="28.5">
      <c r="A679" s="990">
        <v>10005</v>
      </c>
      <c r="B679" s="991"/>
      <c r="C679" s="991" t="s">
        <v>795</v>
      </c>
      <c r="D679" s="1027">
        <v>175</v>
      </c>
      <c r="E679" s="1028">
        <v>24000</v>
      </c>
      <c r="F679" s="1049">
        <v>61</v>
      </c>
      <c r="G679" s="1030"/>
      <c r="H679" s="613">
        <v>58</v>
      </c>
      <c r="I679" s="613">
        <v>67</v>
      </c>
      <c r="J679" s="1031">
        <v>150</v>
      </c>
      <c r="K679" s="1032">
        <v>40</v>
      </c>
      <c r="L679" s="1251">
        <v>12</v>
      </c>
      <c r="M679" s="1232">
        <v>3000</v>
      </c>
      <c r="N679" s="1264">
        <v>0.1</v>
      </c>
      <c r="O679" s="815">
        <v>1.15</v>
      </c>
      <c r="P679" s="812">
        <v>20</v>
      </c>
      <c r="Q679" s="507">
        <v>0.1</v>
      </c>
      <c r="R679" s="201">
        <v>7597.2</v>
      </c>
      <c r="S679" s="201">
        <v>385</v>
      </c>
      <c r="T679" s="1278">
        <v>2352</v>
      </c>
      <c r="U679" s="511">
        <v>271.2733333333333</v>
      </c>
      <c r="V679" s="613">
        <v>9.2</v>
      </c>
      <c r="W679" s="613">
        <v>30.87</v>
      </c>
      <c r="X679" s="511">
        <v>2.8000000000000003</v>
      </c>
      <c r="Y679" s="827">
        <v>40.07</v>
      </c>
      <c r="Z679" s="828">
        <v>61.325</v>
      </c>
      <c r="AA679" s="829"/>
      <c r="AB679" s="830"/>
      <c r="AC679" s="940">
        <v>48</v>
      </c>
      <c r="AD679" s="830" t="s">
        <v>483</v>
      </c>
      <c r="AE679" s="830">
        <v>1</v>
      </c>
      <c r="AF679" s="803">
        <v>10005</v>
      </c>
    </row>
    <row r="680" spans="1:32" ht="28.5">
      <c r="A680" s="154">
        <v>10006</v>
      </c>
      <c r="B680" s="992"/>
      <c r="C680" s="992" t="s">
        <v>1036</v>
      </c>
      <c r="D680" s="202">
        <v>175</v>
      </c>
      <c r="E680" s="504">
        <v>37000</v>
      </c>
      <c r="F680" s="621">
        <v>64</v>
      </c>
      <c r="G680" s="1033"/>
      <c r="H680" s="506">
        <v>60</v>
      </c>
      <c r="I680" s="506">
        <v>71</v>
      </c>
      <c r="J680" s="764">
        <v>200</v>
      </c>
      <c r="K680" s="145">
        <v>40</v>
      </c>
      <c r="L680" s="492">
        <v>12</v>
      </c>
      <c r="M680" s="780">
        <v>3000</v>
      </c>
      <c r="N680" s="500">
        <v>0.1</v>
      </c>
      <c r="O680" s="788">
        <v>0.8</v>
      </c>
      <c r="P680" s="492">
        <v>20</v>
      </c>
      <c r="Q680" s="609">
        <v>0.1</v>
      </c>
      <c r="R680" s="610">
        <v>9350.4</v>
      </c>
      <c r="S680" s="610">
        <v>490</v>
      </c>
      <c r="T680" s="1277">
        <v>3561</v>
      </c>
      <c r="U680" s="620">
        <v>250.81</v>
      </c>
      <c r="V680" s="506">
        <v>9.866666666666667</v>
      </c>
      <c r="W680" s="506">
        <v>30.87</v>
      </c>
      <c r="X680" s="620">
        <v>2.8000000000000003</v>
      </c>
      <c r="Y680" s="823">
        <v>40.736666666666665</v>
      </c>
      <c r="Z680" s="831">
        <v>64.39583333333334</v>
      </c>
      <c r="AA680" s="832"/>
      <c r="AB680" s="826"/>
      <c r="AC680" s="939">
        <v>74</v>
      </c>
      <c r="AD680" s="826" t="s">
        <v>483</v>
      </c>
      <c r="AE680" s="826">
        <v>1</v>
      </c>
      <c r="AF680" s="804">
        <v>10006</v>
      </c>
    </row>
    <row r="681" spans="1:32" ht="14.25">
      <c r="A681" s="154"/>
      <c r="B681" s="992"/>
      <c r="C681" s="154"/>
      <c r="D681" s="207"/>
      <c r="E681" s="504"/>
      <c r="F681" s="509"/>
      <c r="G681" s="1094"/>
      <c r="H681" s="506"/>
      <c r="I681" s="506"/>
      <c r="J681" s="764"/>
      <c r="L681" s="492"/>
      <c r="M681" s="780"/>
      <c r="N681" s="500" t="s">
        <v>413</v>
      </c>
      <c r="O681" s="788" t="s">
        <v>413</v>
      </c>
      <c r="P681" s="492"/>
      <c r="Q681" s="507">
        <v>0.02</v>
      </c>
      <c r="R681" s="201">
        <v>6428.4</v>
      </c>
      <c r="S681" s="201">
        <v>392</v>
      </c>
      <c r="T681" s="1277" t="s">
        <v>413</v>
      </c>
      <c r="U681" s="511">
        <v>34.762</v>
      </c>
      <c r="V681" s="506"/>
      <c r="W681" s="506"/>
      <c r="X681" s="511">
        <v>0.56</v>
      </c>
      <c r="Y681" s="823" t="s">
        <v>413</v>
      </c>
      <c r="Z681" s="831"/>
      <c r="AA681" s="889"/>
      <c r="AB681" s="826"/>
      <c r="AC681" s="939" t="s">
        <v>413</v>
      </c>
      <c r="AD681" s="826" t="s">
        <v>413</v>
      </c>
      <c r="AE681" s="826"/>
      <c r="AF681" s="804"/>
    </row>
    <row r="682" spans="1:32" ht="14.25">
      <c r="A682" s="987">
        <v>10010</v>
      </c>
      <c r="B682" s="988"/>
      <c r="C682" s="989" t="s">
        <v>796</v>
      </c>
      <c r="D682" s="1026"/>
      <c r="E682" s="1022"/>
      <c r="F682" s="1023"/>
      <c r="G682" s="1024"/>
      <c r="H682" s="1025"/>
      <c r="I682" s="1025"/>
      <c r="J682" s="1026"/>
      <c r="K682" s="1026"/>
      <c r="L682" s="1021"/>
      <c r="M682" s="1026"/>
      <c r="N682" s="1263" t="s">
        <v>413</v>
      </c>
      <c r="O682" s="816" t="s">
        <v>413</v>
      </c>
      <c r="P682" s="809"/>
      <c r="Q682" s="609">
        <v>0.02</v>
      </c>
      <c r="R682" s="610">
        <v>8863.4</v>
      </c>
      <c r="S682" s="610">
        <v>420</v>
      </c>
      <c r="T682" s="1276" t="s">
        <v>413</v>
      </c>
      <c r="U682" s="620">
        <v>43.02454545454545</v>
      </c>
      <c r="V682" s="1025"/>
      <c r="W682" s="1025"/>
      <c r="X682" s="620">
        <v>0.56</v>
      </c>
      <c r="Y682" s="833" t="s">
        <v>413</v>
      </c>
      <c r="Z682" s="820"/>
      <c r="AA682" s="821"/>
      <c r="AB682" s="822"/>
      <c r="AC682" s="938" t="s">
        <v>413</v>
      </c>
      <c r="AD682" s="822" t="s">
        <v>413</v>
      </c>
      <c r="AE682" s="822"/>
      <c r="AF682" s="801">
        <v>10010</v>
      </c>
    </row>
    <row r="683" spans="1:32" ht="14.25">
      <c r="A683" s="496"/>
      <c r="B683" s="761"/>
      <c r="C683" s="496"/>
      <c r="D683" s="207"/>
      <c r="E683" s="504"/>
      <c r="F683" s="509"/>
      <c r="G683" s="1094"/>
      <c r="H683" s="506"/>
      <c r="I683" s="506"/>
      <c r="J683" s="764"/>
      <c r="K683" s="495"/>
      <c r="L683" s="496"/>
      <c r="M683" s="780"/>
      <c r="N683" s="500" t="s">
        <v>413</v>
      </c>
      <c r="O683" s="788" t="s">
        <v>413</v>
      </c>
      <c r="P683" s="810"/>
      <c r="Q683" s="507"/>
      <c r="R683" s="201" t="s">
        <v>413</v>
      </c>
      <c r="S683" s="201"/>
      <c r="T683" s="1277" t="s">
        <v>413</v>
      </c>
      <c r="U683" s="520"/>
      <c r="V683" s="506"/>
      <c r="W683" s="506"/>
      <c r="X683" s="520"/>
      <c r="Y683" s="823" t="s">
        <v>413</v>
      </c>
      <c r="Z683" s="831"/>
      <c r="AA683" s="866"/>
      <c r="AB683" s="802"/>
      <c r="AC683" s="939" t="s">
        <v>413</v>
      </c>
      <c r="AD683" s="826" t="s">
        <v>413</v>
      </c>
      <c r="AE683" s="826"/>
      <c r="AF683" s="802"/>
    </row>
    <row r="684" spans="1:32" ht="14.25">
      <c r="A684" s="990">
        <v>10011</v>
      </c>
      <c r="B684" s="991"/>
      <c r="C684" s="991" t="s">
        <v>797</v>
      </c>
      <c r="D684" s="1110" t="s">
        <v>472</v>
      </c>
      <c r="E684" s="1028">
        <v>10700</v>
      </c>
      <c r="F684" s="1049">
        <v>26</v>
      </c>
      <c r="G684" s="1052"/>
      <c r="H684" s="616">
        <v>22</v>
      </c>
      <c r="I684" s="613">
        <v>33</v>
      </c>
      <c r="J684" s="1031">
        <v>70</v>
      </c>
      <c r="K684" s="1032" t="s">
        <v>347</v>
      </c>
      <c r="L684" s="1251">
        <v>12</v>
      </c>
      <c r="M684" s="1232">
        <v>1200</v>
      </c>
      <c r="N684" s="1264">
        <v>0.1</v>
      </c>
      <c r="O684" s="815">
        <v>0.6</v>
      </c>
      <c r="P684" s="812">
        <v>49</v>
      </c>
      <c r="Q684" s="603"/>
      <c r="R684" s="605" t="s">
        <v>413</v>
      </c>
      <c r="S684" s="606"/>
      <c r="T684" s="1278">
        <v>1289.1000000000001</v>
      </c>
      <c r="U684" s="604"/>
      <c r="V684" s="613">
        <v>5.35</v>
      </c>
      <c r="W684" s="613"/>
      <c r="X684" s="604"/>
      <c r="Y684" s="827">
        <v>5.35</v>
      </c>
      <c r="Z684" s="828">
        <v>26.14228571428572</v>
      </c>
      <c r="AA684" s="869"/>
      <c r="AB684" s="830"/>
      <c r="AC684" s="940">
        <v>21.400000000000002</v>
      </c>
      <c r="AD684" s="830" t="s">
        <v>483</v>
      </c>
      <c r="AE684" s="830">
        <v>0</v>
      </c>
      <c r="AF684" s="803">
        <v>10011</v>
      </c>
    </row>
    <row r="685" spans="1:32" ht="14.25">
      <c r="A685" s="154">
        <v>10012</v>
      </c>
      <c r="B685" s="992"/>
      <c r="C685" s="992" t="s">
        <v>798</v>
      </c>
      <c r="D685" s="208" t="s">
        <v>450</v>
      </c>
      <c r="E685" s="504">
        <v>14500</v>
      </c>
      <c r="F685" s="621">
        <v>36</v>
      </c>
      <c r="G685" s="1053"/>
      <c r="H685" s="516">
        <v>31</v>
      </c>
      <c r="I685" s="506">
        <v>46</v>
      </c>
      <c r="J685" s="764">
        <v>70</v>
      </c>
      <c r="K685" s="145" t="s">
        <v>347</v>
      </c>
      <c r="L685" s="492">
        <v>12</v>
      </c>
      <c r="M685" s="780">
        <v>1200</v>
      </c>
      <c r="N685" s="500">
        <v>0.1</v>
      </c>
      <c r="O685" s="788">
        <v>0.6</v>
      </c>
      <c r="P685" s="492">
        <v>75</v>
      </c>
      <c r="Q685" s="507"/>
      <c r="R685" s="201" t="s">
        <v>413</v>
      </c>
      <c r="S685" s="201"/>
      <c r="T685" s="1277">
        <v>1798.5</v>
      </c>
      <c r="U685" s="520"/>
      <c r="V685" s="506">
        <v>7.25</v>
      </c>
      <c r="W685" s="506"/>
      <c r="X685" s="520"/>
      <c r="Y685" s="823">
        <v>7.25</v>
      </c>
      <c r="Z685" s="831">
        <v>36.237142857142864</v>
      </c>
      <c r="AA685" s="866"/>
      <c r="AB685" s="826"/>
      <c r="AC685" s="939">
        <v>29</v>
      </c>
      <c r="AD685" s="826" t="s">
        <v>483</v>
      </c>
      <c r="AE685" s="826">
        <v>0</v>
      </c>
      <c r="AF685" s="804">
        <v>10012</v>
      </c>
    </row>
    <row r="686" spans="1:32" ht="14.25">
      <c r="A686" s="990">
        <v>10013</v>
      </c>
      <c r="B686" s="991"/>
      <c r="C686" s="991" t="s">
        <v>799</v>
      </c>
      <c r="D686" s="1110" t="s">
        <v>472</v>
      </c>
      <c r="E686" s="1028">
        <v>9100</v>
      </c>
      <c r="F686" s="1049">
        <v>23</v>
      </c>
      <c r="G686" s="1052"/>
      <c r="H686" s="616">
        <v>19</v>
      </c>
      <c r="I686" s="613">
        <v>29</v>
      </c>
      <c r="J686" s="1031">
        <v>70</v>
      </c>
      <c r="K686" s="1032" t="s">
        <v>347</v>
      </c>
      <c r="L686" s="1251">
        <v>12</v>
      </c>
      <c r="M686" s="1232">
        <v>1200</v>
      </c>
      <c r="N686" s="1264">
        <v>0.1</v>
      </c>
      <c r="O686" s="815">
        <v>0.6</v>
      </c>
      <c r="P686" s="812">
        <v>49</v>
      </c>
      <c r="Q686" s="609">
        <v>0.0833333</v>
      </c>
      <c r="R686" s="610">
        <v>31752.4</v>
      </c>
      <c r="S686" s="610">
        <v>714</v>
      </c>
      <c r="T686" s="1278">
        <v>1140.3</v>
      </c>
      <c r="U686" s="608">
        <v>168.092</v>
      </c>
      <c r="V686" s="613">
        <v>4.55</v>
      </c>
      <c r="W686" s="613"/>
      <c r="X686" s="608">
        <v>2.3333323999999998</v>
      </c>
      <c r="Y686" s="827">
        <v>4.55</v>
      </c>
      <c r="Z686" s="828">
        <v>22.924000000000003</v>
      </c>
      <c r="AA686" s="869"/>
      <c r="AB686" s="830"/>
      <c r="AC686" s="940">
        <v>18.2</v>
      </c>
      <c r="AD686" s="830" t="s">
        <v>483</v>
      </c>
      <c r="AE686" s="830">
        <v>0</v>
      </c>
      <c r="AF686" s="803">
        <v>10013</v>
      </c>
    </row>
    <row r="687" spans="1:32" ht="14.25">
      <c r="A687" s="154">
        <v>10014</v>
      </c>
      <c r="B687" s="992"/>
      <c r="C687" s="992" t="s">
        <v>800</v>
      </c>
      <c r="D687" s="208" t="s">
        <v>450</v>
      </c>
      <c r="E687" s="504">
        <v>11000</v>
      </c>
      <c r="F687" s="621">
        <v>29</v>
      </c>
      <c r="G687" s="1053"/>
      <c r="H687" s="516">
        <v>25</v>
      </c>
      <c r="I687" s="506">
        <v>37</v>
      </c>
      <c r="J687" s="764">
        <v>70</v>
      </c>
      <c r="K687" s="145" t="s">
        <v>347</v>
      </c>
      <c r="L687" s="492">
        <v>12</v>
      </c>
      <c r="M687" s="780">
        <v>1200</v>
      </c>
      <c r="N687" s="500">
        <v>0.1</v>
      </c>
      <c r="O687" s="788">
        <v>0.6</v>
      </c>
      <c r="P687" s="492">
        <v>75</v>
      </c>
      <c r="Q687" s="507"/>
      <c r="R687" s="201" t="s">
        <v>413</v>
      </c>
      <c r="S687" s="201"/>
      <c r="T687" s="1277">
        <v>1473</v>
      </c>
      <c r="U687" s="506"/>
      <c r="V687" s="506">
        <v>5.499999999999999</v>
      </c>
      <c r="W687" s="506"/>
      <c r="X687" s="506"/>
      <c r="Y687" s="823">
        <v>5.499999999999999</v>
      </c>
      <c r="Z687" s="831">
        <v>29.19714285714286</v>
      </c>
      <c r="AA687" s="866"/>
      <c r="AB687" s="826"/>
      <c r="AC687" s="939">
        <v>22</v>
      </c>
      <c r="AD687" s="826" t="s">
        <v>483</v>
      </c>
      <c r="AE687" s="826">
        <v>0</v>
      </c>
      <c r="AF687" s="804">
        <v>10014</v>
      </c>
    </row>
    <row r="688" spans="1:32" ht="14.25">
      <c r="A688" s="990">
        <v>10015</v>
      </c>
      <c r="B688" s="991"/>
      <c r="C688" s="991" t="s">
        <v>801</v>
      </c>
      <c r="D688" s="1110" t="s">
        <v>347</v>
      </c>
      <c r="E688" s="1028">
        <v>3400</v>
      </c>
      <c r="F688" s="1049">
        <v>9.5</v>
      </c>
      <c r="G688" s="1052"/>
      <c r="H688" s="616">
        <v>8</v>
      </c>
      <c r="I688" s="613">
        <v>11.5</v>
      </c>
      <c r="J688" s="1031">
        <v>70</v>
      </c>
      <c r="K688" s="1032" t="s">
        <v>347</v>
      </c>
      <c r="L688" s="1251">
        <v>12</v>
      </c>
      <c r="M688" s="1232">
        <v>1200</v>
      </c>
      <c r="N688" s="1264">
        <v>0.1</v>
      </c>
      <c r="O688" s="815">
        <v>0.95</v>
      </c>
      <c r="P688" s="812">
        <v>15</v>
      </c>
      <c r="Q688" s="609"/>
      <c r="R688" s="610" t="s">
        <v>413</v>
      </c>
      <c r="S688" s="610"/>
      <c r="T688" s="1278">
        <v>406.2</v>
      </c>
      <c r="U688" s="608"/>
      <c r="V688" s="613">
        <v>2.691666666666667</v>
      </c>
      <c r="W688" s="613"/>
      <c r="X688" s="608"/>
      <c r="Y688" s="827">
        <v>2.691666666666667</v>
      </c>
      <c r="Z688" s="828">
        <v>9.34397619047619</v>
      </c>
      <c r="AA688" s="869"/>
      <c r="AB688" s="830"/>
      <c r="AC688" s="940">
        <v>6.8</v>
      </c>
      <c r="AD688" s="830" t="s">
        <v>483</v>
      </c>
      <c r="AE688" s="830">
        <v>0</v>
      </c>
      <c r="AF688" s="803">
        <v>10015</v>
      </c>
    </row>
    <row r="689" spans="1:32" ht="14.25">
      <c r="A689" s="154">
        <v>10016</v>
      </c>
      <c r="B689" s="992"/>
      <c r="C689" s="992" t="s">
        <v>802</v>
      </c>
      <c r="D689" s="208" t="s">
        <v>347</v>
      </c>
      <c r="E689" s="504">
        <v>17500</v>
      </c>
      <c r="F689" s="621">
        <v>45</v>
      </c>
      <c r="G689" s="1053"/>
      <c r="H689" s="516">
        <v>38</v>
      </c>
      <c r="I689" s="506">
        <v>56</v>
      </c>
      <c r="J689" s="764">
        <v>70</v>
      </c>
      <c r="K689" s="145" t="s">
        <v>347</v>
      </c>
      <c r="L689" s="492">
        <v>12</v>
      </c>
      <c r="M689" s="780">
        <v>1200</v>
      </c>
      <c r="N689" s="500">
        <v>0.1</v>
      </c>
      <c r="O689" s="788">
        <v>0.6</v>
      </c>
      <c r="P689" s="492">
        <v>99</v>
      </c>
      <c r="Q689" s="507">
        <v>0.0833333</v>
      </c>
      <c r="R689" s="201">
        <v>38765.2</v>
      </c>
      <c r="S689" s="201">
        <v>791</v>
      </c>
      <c r="T689" s="1277">
        <v>2221.5</v>
      </c>
      <c r="U689" s="506">
        <v>226.95666666666665</v>
      </c>
      <c r="V689" s="506">
        <v>8.75</v>
      </c>
      <c r="W689" s="506"/>
      <c r="X689" s="506">
        <v>2.3333323999999998</v>
      </c>
      <c r="Y689" s="823">
        <v>8.75</v>
      </c>
      <c r="Z689" s="831">
        <v>44.534285714285716</v>
      </c>
      <c r="AA689" s="866"/>
      <c r="AB689" s="826"/>
      <c r="AC689" s="939">
        <v>35</v>
      </c>
      <c r="AD689" s="826" t="s">
        <v>483</v>
      </c>
      <c r="AE689" s="826">
        <v>0</v>
      </c>
      <c r="AF689" s="804">
        <v>10016</v>
      </c>
    </row>
    <row r="690" spans="1:32" ht="14.25">
      <c r="A690" s="154"/>
      <c r="B690" s="992"/>
      <c r="C690" s="992"/>
      <c r="D690" s="207"/>
      <c r="E690" s="504"/>
      <c r="F690" s="509"/>
      <c r="G690" s="1094"/>
      <c r="H690" s="506"/>
      <c r="I690" s="506"/>
      <c r="J690" s="764"/>
      <c r="L690" s="492"/>
      <c r="M690" s="780"/>
      <c r="N690" s="500" t="s">
        <v>413</v>
      </c>
      <c r="O690" s="788" t="s">
        <v>413</v>
      </c>
      <c r="P690" s="492"/>
      <c r="Q690" s="609"/>
      <c r="R690" s="610" t="s">
        <v>413</v>
      </c>
      <c r="S690" s="610"/>
      <c r="T690" s="1277" t="s">
        <v>413</v>
      </c>
      <c r="U690" s="608"/>
      <c r="V690" s="506"/>
      <c r="W690" s="506"/>
      <c r="X690" s="608"/>
      <c r="Y690" s="823" t="s">
        <v>413</v>
      </c>
      <c r="Z690" s="834"/>
      <c r="AA690" s="880"/>
      <c r="AB690" s="865"/>
      <c r="AC690" s="939" t="s">
        <v>413</v>
      </c>
      <c r="AD690" s="826" t="s">
        <v>413</v>
      </c>
      <c r="AE690" s="826"/>
      <c r="AF690" s="804"/>
    </row>
    <row r="691" spans="1:32" ht="14.25">
      <c r="A691" s="987">
        <v>10030</v>
      </c>
      <c r="B691" s="988"/>
      <c r="C691" s="989" t="s">
        <v>803</v>
      </c>
      <c r="D691" s="1026"/>
      <c r="E691" s="1022"/>
      <c r="F691" s="1023"/>
      <c r="G691" s="1024"/>
      <c r="H691" s="1025"/>
      <c r="I691" s="1025"/>
      <c r="J691" s="1026"/>
      <c r="K691" s="1026"/>
      <c r="L691" s="1021"/>
      <c r="M691" s="1026"/>
      <c r="N691" s="1263" t="s">
        <v>413</v>
      </c>
      <c r="O691" s="816" t="s">
        <v>413</v>
      </c>
      <c r="P691" s="809"/>
      <c r="Q691" s="507"/>
      <c r="R691" s="201" t="s">
        <v>413</v>
      </c>
      <c r="S691" s="201"/>
      <c r="T691" s="1276" t="s">
        <v>413</v>
      </c>
      <c r="U691" s="506"/>
      <c r="V691" s="1025"/>
      <c r="W691" s="1025"/>
      <c r="X691" s="506"/>
      <c r="Y691" s="833" t="s">
        <v>413</v>
      </c>
      <c r="Z691" s="820"/>
      <c r="AA691" s="821"/>
      <c r="AB691" s="822"/>
      <c r="AC691" s="938" t="s">
        <v>413</v>
      </c>
      <c r="AD691" s="822" t="s">
        <v>413</v>
      </c>
      <c r="AE691" s="822"/>
      <c r="AF691" s="801">
        <v>10030</v>
      </c>
    </row>
    <row r="692" spans="1:32" ht="14.25">
      <c r="A692" s="496"/>
      <c r="B692" s="761"/>
      <c r="C692" s="496"/>
      <c r="D692" s="499"/>
      <c r="E692" s="504"/>
      <c r="F692" s="496"/>
      <c r="G692" s="495"/>
      <c r="H692" s="495"/>
      <c r="I692" s="495"/>
      <c r="J692" s="499"/>
      <c r="K692" s="495"/>
      <c r="L692" s="496"/>
      <c r="M692" s="499"/>
      <c r="N692" s="500" t="s">
        <v>413</v>
      </c>
      <c r="O692" s="788" t="s">
        <v>413</v>
      </c>
      <c r="P692" s="810"/>
      <c r="Q692" s="609"/>
      <c r="R692" s="610" t="s">
        <v>413</v>
      </c>
      <c r="S692" s="610"/>
      <c r="T692" s="1277" t="s">
        <v>413</v>
      </c>
      <c r="U692" s="608"/>
      <c r="V692" s="496"/>
      <c r="W692" s="496"/>
      <c r="X692" s="608"/>
      <c r="Y692" s="823" t="s">
        <v>413</v>
      </c>
      <c r="Z692" s="802"/>
      <c r="AA692" s="802"/>
      <c r="AB692" s="802"/>
      <c r="AC692" s="939" t="s">
        <v>413</v>
      </c>
      <c r="AD692" s="826" t="s">
        <v>413</v>
      </c>
      <c r="AE692" s="802"/>
      <c r="AF692" s="802"/>
    </row>
    <row r="693" spans="1:32" ht="14.25">
      <c r="A693" s="990">
        <v>10031</v>
      </c>
      <c r="B693" s="991"/>
      <c r="C693" s="991" t="s">
        <v>804</v>
      </c>
      <c r="D693" s="1193">
        <v>2</v>
      </c>
      <c r="E693" s="1028">
        <v>39000</v>
      </c>
      <c r="F693" s="1041">
        <v>29</v>
      </c>
      <c r="G693" s="1116">
        <v>14.5</v>
      </c>
      <c r="H693" s="1096">
        <v>12</v>
      </c>
      <c r="I693" s="1096">
        <v>18</v>
      </c>
      <c r="J693" s="1117">
        <v>400</v>
      </c>
      <c r="K693" s="1032" t="s">
        <v>347</v>
      </c>
      <c r="L693" s="1251">
        <v>12</v>
      </c>
      <c r="M693" s="1117">
        <v>8000</v>
      </c>
      <c r="N693" s="1264">
        <v>0.1</v>
      </c>
      <c r="O693" s="815">
        <v>0.65</v>
      </c>
      <c r="P693" s="812">
        <v>50</v>
      </c>
      <c r="Q693" s="507"/>
      <c r="R693" s="201" t="s">
        <v>413</v>
      </c>
      <c r="S693" s="201"/>
      <c r="T693" s="1278">
        <v>3927</v>
      </c>
      <c r="U693" s="511"/>
      <c r="V693" s="1096">
        <v>3.16875</v>
      </c>
      <c r="W693" s="1096"/>
      <c r="X693" s="511"/>
      <c r="Y693" s="879">
        <v>3.16875</v>
      </c>
      <c r="Z693" s="828">
        <v>28.569750000000006</v>
      </c>
      <c r="AA693" s="869">
        <v>14.284875000000003</v>
      </c>
      <c r="AB693" s="830">
        <v>7</v>
      </c>
      <c r="AC693" s="940">
        <v>78</v>
      </c>
      <c r="AD693" s="830" t="s">
        <v>485</v>
      </c>
      <c r="AE693" s="830">
        <v>0</v>
      </c>
      <c r="AF693" s="803">
        <v>10031</v>
      </c>
    </row>
    <row r="694" spans="1:32" ht="14.25">
      <c r="A694" s="154">
        <v>10032</v>
      </c>
      <c r="B694" s="992"/>
      <c r="C694" s="992" t="s">
        <v>805</v>
      </c>
      <c r="D694" s="207">
        <v>2</v>
      </c>
      <c r="E694" s="504">
        <v>46000</v>
      </c>
      <c r="F694" s="509">
        <v>34</v>
      </c>
      <c r="G694" s="1091">
        <v>17</v>
      </c>
      <c r="H694" s="1092">
        <v>14</v>
      </c>
      <c r="I694" s="1092">
        <v>21</v>
      </c>
      <c r="J694" s="1093">
        <v>400</v>
      </c>
      <c r="K694" s="145" t="s">
        <v>347</v>
      </c>
      <c r="L694" s="492">
        <v>12</v>
      </c>
      <c r="M694" s="1093">
        <v>8000</v>
      </c>
      <c r="N694" s="500">
        <v>0.1</v>
      </c>
      <c r="O694" s="788">
        <v>0.65</v>
      </c>
      <c r="P694" s="492">
        <v>60</v>
      </c>
      <c r="Q694" s="603"/>
      <c r="R694" s="605" t="s">
        <v>413</v>
      </c>
      <c r="S694" s="606"/>
      <c r="T694" s="1277">
        <v>4638</v>
      </c>
      <c r="U694" s="604"/>
      <c r="V694" s="1092">
        <v>3.7375000000000003</v>
      </c>
      <c r="W694" s="1092"/>
      <c r="X694" s="604"/>
      <c r="Y694" s="864">
        <v>3.7375000000000003</v>
      </c>
      <c r="Z694" s="831">
        <v>33.731500000000004</v>
      </c>
      <c r="AA694" s="866">
        <v>16.865750000000002</v>
      </c>
      <c r="AB694" s="826">
        <v>10</v>
      </c>
      <c r="AC694" s="939">
        <v>92</v>
      </c>
      <c r="AD694" s="826" t="s">
        <v>485</v>
      </c>
      <c r="AE694" s="826">
        <v>0</v>
      </c>
      <c r="AF694" s="804">
        <v>10032</v>
      </c>
    </row>
    <row r="695" spans="1:32" ht="14.25">
      <c r="A695" s="990">
        <v>10033</v>
      </c>
      <c r="B695" s="991"/>
      <c r="C695" s="991" t="s">
        <v>806</v>
      </c>
      <c r="D695" s="1086">
        <v>2</v>
      </c>
      <c r="E695" s="1028">
        <v>49000</v>
      </c>
      <c r="F695" s="1041">
        <v>36</v>
      </c>
      <c r="G695" s="1116">
        <v>18</v>
      </c>
      <c r="H695" s="1096">
        <v>15</v>
      </c>
      <c r="I695" s="1096">
        <v>23</v>
      </c>
      <c r="J695" s="1117">
        <v>400</v>
      </c>
      <c r="K695" s="1032" t="s">
        <v>347</v>
      </c>
      <c r="L695" s="1251">
        <v>12</v>
      </c>
      <c r="M695" s="1117">
        <v>8000</v>
      </c>
      <c r="N695" s="1264">
        <v>0.1</v>
      </c>
      <c r="O695" s="815">
        <v>0.65</v>
      </c>
      <c r="P695" s="812">
        <v>67</v>
      </c>
      <c r="Q695" s="507"/>
      <c r="R695" s="201" t="s">
        <v>413</v>
      </c>
      <c r="S695" s="201"/>
      <c r="T695" s="1278">
        <v>4959</v>
      </c>
      <c r="U695" s="511"/>
      <c r="V695" s="1096">
        <v>3.98125</v>
      </c>
      <c r="W695" s="1096"/>
      <c r="X695" s="511"/>
      <c r="Y695" s="879">
        <v>3.98125</v>
      </c>
      <c r="Z695" s="828">
        <v>36.03325</v>
      </c>
      <c r="AA695" s="869">
        <v>18.016625</v>
      </c>
      <c r="AB695" s="830">
        <v>12</v>
      </c>
      <c r="AC695" s="940">
        <v>98</v>
      </c>
      <c r="AD695" s="830" t="s">
        <v>485</v>
      </c>
      <c r="AE695" s="830">
        <v>0</v>
      </c>
      <c r="AF695" s="803">
        <v>10033</v>
      </c>
    </row>
    <row r="696" spans="1:32" ht="14.25">
      <c r="A696" s="154">
        <v>10034</v>
      </c>
      <c r="B696" s="992"/>
      <c r="C696" s="992" t="s">
        <v>807</v>
      </c>
      <c r="D696" s="517">
        <v>2</v>
      </c>
      <c r="E696" s="504">
        <v>55000</v>
      </c>
      <c r="F696" s="509">
        <v>36</v>
      </c>
      <c r="G696" s="1091">
        <v>18</v>
      </c>
      <c r="H696" s="1092">
        <v>15</v>
      </c>
      <c r="I696" s="1092">
        <v>22</v>
      </c>
      <c r="J696" s="1093">
        <v>400</v>
      </c>
      <c r="K696" s="145" t="s">
        <v>347</v>
      </c>
      <c r="L696" s="492">
        <v>12</v>
      </c>
      <c r="M696" s="1093">
        <v>10000</v>
      </c>
      <c r="N696" s="500">
        <v>0.25</v>
      </c>
      <c r="O696" s="788">
        <v>0.65</v>
      </c>
      <c r="P696" s="492">
        <v>74</v>
      </c>
      <c r="Q696" s="609">
        <v>0.25</v>
      </c>
      <c r="R696" s="610">
        <v>7986</v>
      </c>
      <c r="S696" s="610">
        <v>294</v>
      </c>
      <c r="T696" s="1277">
        <v>4954</v>
      </c>
      <c r="U696" s="620">
        <v>70.1</v>
      </c>
      <c r="V696" s="1092">
        <v>3.575</v>
      </c>
      <c r="W696" s="1092"/>
      <c r="X696" s="620">
        <v>7</v>
      </c>
      <c r="Y696" s="864">
        <v>3.575</v>
      </c>
      <c r="Z696" s="831">
        <v>35.112</v>
      </c>
      <c r="AA696" s="866">
        <v>17.556</v>
      </c>
      <c r="AB696" s="826">
        <v>14</v>
      </c>
      <c r="AC696" s="939">
        <v>110</v>
      </c>
      <c r="AD696" s="826" t="s">
        <v>485</v>
      </c>
      <c r="AE696" s="826">
        <v>0</v>
      </c>
      <c r="AF696" s="804">
        <v>10034</v>
      </c>
    </row>
    <row r="697" spans="1:32" ht="14.25">
      <c r="A697" s="990">
        <v>10035</v>
      </c>
      <c r="B697" s="991"/>
      <c r="C697" s="991" t="s">
        <v>808</v>
      </c>
      <c r="D697" s="1086">
        <v>2</v>
      </c>
      <c r="E697" s="1028">
        <v>64000</v>
      </c>
      <c r="F697" s="1041">
        <v>40</v>
      </c>
      <c r="G697" s="1116">
        <v>20</v>
      </c>
      <c r="H697" s="1096">
        <v>17</v>
      </c>
      <c r="I697" s="1096">
        <v>25</v>
      </c>
      <c r="J697" s="1117">
        <v>400</v>
      </c>
      <c r="K697" s="1032" t="s">
        <v>347</v>
      </c>
      <c r="L697" s="1251">
        <v>12</v>
      </c>
      <c r="M697" s="1117">
        <v>10000</v>
      </c>
      <c r="N697" s="1264">
        <v>0.25</v>
      </c>
      <c r="O697" s="815">
        <v>0.6</v>
      </c>
      <c r="P697" s="812">
        <v>79</v>
      </c>
      <c r="Q697" s="507">
        <v>0.25</v>
      </c>
      <c r="R697" s="201">
        <v>10648</v>
      </c>
      <c r="S697" s="201">
        <v>294</v>
      </c>
      <c r="T697" s="1278">
        <v>5722</v>
      </c>
      <c r="U697" s="511">
        <v>74.12</v>
      </c>
      <c r="V697" s="1096">
        <v>3.84</v>
      </c>
      <c r="W697" s="1096"/>
      <c r="X697" s="511">
        <v>7</v>
      </c>
      <c r="Y697" s="879">
        <v>3.84</v>
      </c>
      <c r="Z697" s="828">
        <v>39.919000000000004</v>
      </c>
      <c r="AA697" s="869">
        <v>19.959500000000002</v>
      </c>
      <c r="AB697" s="830">
        <v>16</v>
      </c>
      <c r="AC697" s="940">
        <v>128</v>
      </c>
      <c r="AD697" s="830" t="s">
        <v>485</v>
      </c>
      <c r="AE697" s="830">
        <v>0</v>
      </c>
      <c r="AF697" s="803">
        <v>10035</v>
      </c>
    </row>
    <row r="698" spans="1:32" ht="14.25">
      <c r="A698" s="154">
        <v>10049</v>
      </c>
      <c r="B698" s="992"/>
      <c r="C698" s="992" t="s">
        <v>1037</v>
      </c>
      <c r="D698" s="517">
        <v>2</v>
      </c>
      <c r="E698" s="504">
        <v>85000</v>
      </c>
      <c r="F698" s="509">
        <v>52</v>
      </c>
      <c r="G698" s="1091">
        <v>26</v>
      </c>
      <c r="H698" s="1092">
        <v>22</v>
      </c>
      <c r="I698" s="1092">
        <v>33</v>
      </c>
      <c r="J698" s="1093">
        <v>400</v>
      </c>
      <c r="K698" s="145" t="s">
        <v>347</v>
      </c>
      <c r="L698" s="492">
        <v>12</v>
      </c>
      <c r="M698" s="1093">
        <v>10000</v>
      </c>
      <c r="N698" s="500">
        <v>0.25</v>
      </c>
      <c r="O698" s="788">
        <v>0.6</v>
      </c>
      <c r="P698" s="492">
        <v>90</v>
      </c>
      <c r="Q698" s="609">
        <v>0.25</v>
      </c>
      <c r="R698" s="610">
        <v>15004</v>
      </c>
      <c r="S698" s="610">
        <v>420</v>
      </c>
      <c r="T698" s="1277">
        <v>7510</v>
      </c>
      <c r="U698" s="620">
        <v>89.55428571428571</v>
      </c>
      <c r="V698" s="1092">
        <v>5.1</v>
      </c>
      <c r="W698" s="1092"/>
      <c r="X698" s="620">
        <v>7</v>
      </c>
      <c r="Y698" s="864">
        <v>5.1</v>
      </c>
      <c r="Z698" s="831">
        <v>52.525000000000006</v>
      </c>
      <c r="AA698" s="866">
        <v>26.262500000000003</v>
      </c>
      <c r="AB698" s="826">
        <v>16</v>
      </c>
      <c r="AC698" s="939">
        <v>170</v>
      </c>
      <c r="AD698" s="826" t="s">
        <v>485</v>
      </c>
      <c r="AE698" s="826">
        <v>0</v>
      </c>
      <c r="AF698" s="804">
        <v>10049</v>
      </c>
    </row>
    <row r="699" spans="1:32" ht="28.5">
      <c r="A699" s="990">
        <v>10036</v>
      </c>
      <c r="B699" s="991"/>
      <c r="C699" s="991" t="s">
        <v>1391</v>
      </c>
      <c r="D699" s="1086">
        <v>2</v>
      </c>
      <c r="E699" s="1028">
        <v>55000</v>
      </c>
      <c r="F699" s="1041">
        <v>40</v>
      </c>
      <c r="G699" s="1116">
        <v>20</v>
      </c>
      <c r="H699" s="1096">
        <v>17</v>
      </c>
      <c r="I699" s="1096">
        <v>25</v>
      </c>
      <c r="J699" s="1117">
        <v>400</v>
      </c>
      <c r="K699" s="1032" t="s">
        <v>347</v>
      </c>
      <c r="L699" s="1251">
        <v>12</v>
      </c>
      <c r="M699" s="1117">
        <v>8000</v>
      </c>
      <c r="N699" s="1264">
        <v>0.1</v>
      </c>
      <c r="O699" s="815">
        <v>0.6</v>
      </c>
      <c r="P699" s="812">
        <v>55</v>
      </c>
      <c r="Q699" s="507">
        <v>0.25</v>
      </c>
      <c r="R699" s="201">
        <v>3509</v>
      </c>
      <c r="S699" s="201">
        <v>217</v>
      </c>
      <c r="T699" s="1278">
        <v>5445</v>
      </c>
      <c r="U699" s="511">
        <v>31.533333333333335</v>
      </c>
      <c r="V699" s="1096">
        <v>4.125</v>
      </c>
      <c r="W699" s="1096"/>
      <c r="X699" s="511">
        <v>7</v>
      </c>
      <c r="Y699" s="879">
        <v>4.125</v>
      </c>
      <c r="Z699" s="828">
        <v>39.02250000000001</v>
      </c>
      <c r="AA699" s="869">
        <v>19.511250000000004</v>
      </c>
      <c r="AB699" s="830">
        <v>7</v>
      </c>
      <c r="AC699" s="940">
        <v>110</v>
      </c>
      <c r="AD699" s="830" t="s">
        <v>485</v>
      </c>
      <c r="AE699" s="830">
        <v>0</v>
      </c>
      <c r="AF699" s="803">
        <v>10036</v>
      </c>
    </row>
    <row r="700" spans="1:32" ht="28.5">
      <c r="A700" s="154">
        <v>10037</v>
      </c>
      <c r="B700" s="992"/>
      <c r="C700" s="992" t="s">
        <v>1392</v>
      </c>
      <c r="D700" s="517">
        <v>2</v>
      </c>
      <c r="E700" s="504">
        <v>68000</v>
      </c>
      <c r="F700" s="509">
        <v>48</v>
      </c>
      <c r="G700" s="1091">
        <v>24</v>
      </c>
      <c r="H700" s="1092">
        <v>20</v>
      </c>
      <c r="I700" s="1092">
        <v>30</v>
      </c>
      <c r="J700" s="1093">
        <v>400</v>
      </c>
      <c r="K700" s="145" t="s">
        <v>347</v>
      </c>
      <c r="L700" s="492">
        <v>12</v>
      </c>
      <c r="M700" s="1093">
        <v>8000</v>
      </c>
      <c r="N700" s="500">
        <v>0.1</v>
      </c>
      <c r="O700" s="788">
        <v>0.6</v>
      </c>
      <c r="P700" s="492">
        <v>64</v>
      </c>
      <c r="Q700" s="609">
        <v>0.25</v>
      </c>
      <c r="R700" s="610">
        <v>3751</v>
      </c>
      <c r="S700" s="610">
        <v>217</v>
      </c>
      <c r="T700" s="1277">
        <v>6708</v>
      </c>
      <c r="U700" s="620">
        <v>26.866666666666667</v>
      </c>
      <c r="V700" s="1092">
        <v>5.1</v>
      </c>
      <c r="W700" s="1092"/>
      <c r="X700" s="620">
        <v>7</v>
      </c>
      <c r="Y700" s="864">
        <v>5.1</v>
      </c>
      <c r="Z700" s="831">
        <v>48.114</v>
      </c>
      <c r="AA700" s="866">
        <v>24.057</v>
      </c>
      <c r="AB700" s="826">
        <v>10</v>
      </c>
      <c r="AC700" s="939">
        <v>136</v>
      </c>
      <c r="AD700" s="826" t="s">
        <v>485</v>
      </c>
      <c r="AE700" s="826">
        <v>0</v>
      </c>
      <c r="AF700" s="804">
        <v>10037</v>
      </c>
    </row>
    <row r="701" spans="1:32" ht="28.5">
      <c r="A701" s="990">
        <v>10038</v>
      </c>
      <c r="B701" s="991"/>
      <c r="C701" s="991" t="s">
        <v>1393</v>
      </c>
      <c r="D701" s="1086">
        <v>2</v>
      </c>
      <c r="E701" s="1028">
        <v>72000</v>
      </c>
      <c r="F701" s="1041">
        <v>50</v>
      </c>
      <c r="G701" s="1116">
        <v>25</v>
      </c>
      <c r="H701" s="1096">
        <v>22</v>
      </c>
      <c r="I701" s="1096">
        <v>32</v>
      </c>
      <c r="J701" s="1117">
        <v>400</v>
      </c>
      <c r="K701" s="1032" t="s">
        <v>347</v>
      </c>
      <c r="L701" s="1251">
        <v>12</v>
      </c>
      <c r="M701" s="1117">
        <v>8000</v>
      </c>
      <c r="N701" s="1264">
        <v>0.1</v>
      </c>
      <c r="O701" s="815">
        <v>0.6</v>
      </c>
      <c r="P701" s="812">
        <v>68</v>
      </c>
      <c r="Q701" s="507"/>
      <c r="R701" s="201" t="s">
        <v>413</v>
      </c>
      <c r="S701" s="201"/>
      <c r="T701" s="1278">
        <v>7104</v>
      </c>
      <c r="U701" s="511"/>
      <c r="V701" s="1096">
        <v>5.3999999999999995</v>
      </c>
      <c r="W701" s="1096"/>
      <c r="X701" s="511"/>
      <c r="Y701" s="879">
        <v>5.3999999999999995</v>
      </c>
      <c r="Z701" s="828">
        <v>50.952000000000005</v>
      </c>
      <c r="AA701" s="869">
        <v>25.476000000000003</v>
      </c>
      <c r="AB701" s="830">
        <v>12</v>
      </c>
      <c r="AC701" s="940">
        <v>144</v>
      </c>
      <c r="AD701" s="830" t="s">
        <v>485</v>
      </c>
      <c r="AE701" s="830">
        <v>0</v>
      </c>
      <c r="AF701" s="803">
        <v>10038</v>
      </c>
    </row>
    <row r="702" spans="1:32" ht="14.25">
      <c r="A702" s="154">
        <v>10039</v>
      </c>
      <c r="B702" s="992"/>
      <c r="C702" s="992" t="s">
        <v>1038</v>
      </c>
      <c r="D702" s="517">
        <v>2</v>
      </c>
      <c r="E702" s="504">
        <v>75000</v>
      </c>
      <c r="F702" s="509">
        <v>46</v>
      </c>
      <c r="G702" s="1091">
        <v>23</v>
      </c>
      <c r="H702" s="1092">
        <v>19</v>
      </c>
      <c r="I702" s="1092">
        <v>29</v>
      </c>
      <c r="J702" s="1093">
        <v>400</v>
      </c>
      <c r="K702" s="145" t="s">
        <v>347</v>
      </c>
      <c r="L702" s="492">
        <v>12</v>
      </c>
      <c r="M702" s="1093">
        <v>10000</v>
      </c>
      <c r="N702" s="500">
        <v>0.25</v>
      </c>
      <c r="O702" s="788">
        <v>0.6</v>
      </c>
      <c r="P702" s="492">
        <v>74</v>
      </c>
      <c r="Q702" s="626"/>
      <c r="R702" s="627" t="s">
        <v>413</v>
      </c>
      <c r="S702" s="627"/>
      <c r="T702" s="1277">
        <v>6594</v>
      </c>
      <c r="U702" s="637"/>
      <c r="V702" s="1092">
        <v>4.5</v>
      </c>
      <c r="W702" s="1092"/>
      <c r="X702" s="625"/>
      <c r="Y702" s="864">
        <v>4.5</v>
      </c>
      <c r="Z702" s="831">
        <v>46.167</v>
      </c>
      <c r="AA702" s="866">
        <v>23.0835</v>
      </c>
      <c r="AB702" s="826">
        <v>14</v>
      </c>
      <c r="AC702" s="939">
        <v>150</v>
      </c>
      <c r="AD702" s="826" t="s">
        <v>485</v>
      </c>
      <c r="AE702" s="826">
        <v>0</v>
      </c>
      <c r="AF702" s="804">
        <v>10039</v>
      </c>
    </row>
    <row r="703" spans="1:32" ht="14.25">
      <c r="A703" s="990">
        <v>10040</v>
      </c>
      <c r="B703" s="991"/>
      <c r="C703" s="991" t="s">
        <v>1039</v>
      </c>
      <c r="D703" s="1086">
        <v>2</v>
      </c>
      <c r="E703" s="1028">
        <v>92000</v>
      </c>
      <c r="F703" s="1041">
        <v>56</v>
      </c>
      <c r="G703" s="1116">
        <v>28</v>
      </c>
      <c r="H703" s="1096">
        <v>24</v>
      </c>
      <c r="I703" s="1096">
        <v>35</v>
      </c>
      <c r="J703" s="1117">
        <v>400</v>
      </c>
      <c r="K703" s="1032" t="s">
        <v>347</v>
      </c>
      <c r="L703" s="1251">
        <v>12</v>
      </c>
      <c r="M703" s="1117">
        <v>10000</v>
      </c>
      <c r="N703" s="1264">
        <v>0.25</v>
      </c>
      <c r="O703" s="815">
        <v>0.6</v>
      </c>
      <c r="P703" s="812">
        <v>80</v>
      </c>
      <c r="Q703" s="507"/>
      <c r="R703" s="201" t="s">
        <v>413</v>
      </c>
      <c r="S703" s="201"/>
      <c r="T703" s="1278">
        <v>8024</v>
      </c>
      <c r="U703" s="506"/>
      <c r="V703" s="1096">
        <v>5.52</v>
      </c>
      <c r="W703" s="1096"/>
      <c r="X703" s="506"/>
      <c r="Y703" s="879">
        <v>5.52</v>
      </c>
      <c r="Z703" s="828">
        <v>56.276</v>
      </c>
      <c r="AA703" s="869">
        <v>28.138</v>
      </c>
      <c r="AB703" s="830">
        <v>16</v>
      </c>
      <c r="AC703" s="940">
        <v>184</v>
      </c>
      <c r="AD703" s="830" t="s">
        <v>485</v>
      </c>
      <c r="AE703" s="830">
        <v>0</v>
      </c>
      <c r="AF703" s="803">
        <v>10040</v>
      </c>
    </row>
    <row r="704" spans="1:32" ht="14.25">
      <c r="A704" s="154">
        <v>10041</v>
      </c>
      <c r="B704" s="992"/>
      <c r="C704" s="992" t="s">
        <v>1040</v>
      </c>
      <c r="D704" s="517">
        <v>2</v>
      </c>
      <c r="E704" s="504">
        <v>91000</v>
      </c>
      <c r="F704" s="509">
        <v>54</v>
      </c>
      <c r="G704" s="1091">
        <v>27</v>
      </c>
      <c r="H704" s="1092">
        <v>23</v>
      </c>
      <c r="I704" s="1092">
        <v>34</v>
      </c>
      <c r="J704" s="1093">
        <v>400</v>
      </c>
      <c r="K704" s="145" t="s">
        <v>347</v>
      </c>
      <c r="L704" s="492">
        <v>12</v>
      </c>
      <c r="M704" s="1093">
        <v>10000</v>
      </c>
      <c r="N704" s="500">
        <v>0.25</v>
      </c>
      <c r="O704" s="788">
        <v>0.5</v>
      </c>
      <c r="P704" s="492">
        <v>85</v>
      </c>
      <c r="Q704" s="603"/>
      <c r="R704" s="605" t="s">
        <v>413</v>
      </c>
      <c r="S704" s="606"/>
      <c r="T704" s="1277">
        <v>7972</v>
      </c>
      <c r="U704" s="604"/>
      <c r="V704" s="1092">
        <v>4.55</v>
      </c>
      <c r="W704" s="1092"/>
      <c r="X704" s="604"/>
      <c r="Y704" s="864">
        <v>4.55</v>
      </c>
      <c r="Z704" s="831">
        <v>53.85600000000001</v>
      </c>
      <c r="AA704" s="866">
        <v>26.928000000000004</v>
      </c>
      <c r="AB704" s="826">
        <v>18</v>
      </c>
      <c r="AC704" s="939">
        <v>182</v>
      </c>
      <c r="AD704" s="826" t="s">
        <v>485</v>
      </c>
      <c r="AE704" s="826">
        <v>0</v>
      </c>
      <c r="AF704" s="804">
        <v>10041</v>
      </c>
    </row>
    <row r="705" spans="1:32" ht="28.5">
      <c r="A705" s="990">
        <v>10042</v>
      </c>
      <c r="B705" s="991"/>
      <c r="C705" s="991" t="s">
        <v>1467</v>
      </c>
      <c r="D705" s="1086">
        <v>4</v>
      </c>
      <c r="E705" s="1028">
        <v>232000</v>
      </c>
      <c r="F705" s="1041">
        <v>112</v>
      </c>
      <c r="G705" s="1116">
        <v>28</v>
      </c>
      <c r="H705" s="1162">
        <v>24</v>
      </c>
      <c r="I705" s="1096">
        <v>34</v>
      </c>
      <c r="J705" s="1117">
        <v>1400</v>
      </c>
      <c r="K705" s="1032">
        <v>30</v>
      </c>
      <c r="L705" s="1251">
        <v>12</v>
      </c>
      <c r="M705" s="1117">
        <v>20000</v>
      </c>
      <c r="N705" s="1264">
        <v>0.1</v>
      </c>
      <c r="O705" s="815">
        <v>0.4</v>
      </c>
      <c r="P705" s="812">
        <v>98</v>
      </c>
      <c r="Q705" s="507"/>
      <c r="R705" s="201" t="s">
        <v>413</v>
      </c>
      <c r="S705" s="201"/>
      <c r="T705" s="1278">
        <v>22664</v>
      </c>
      <c r="U705" s="506"/>
      <c r="V705" s="1096">
        <v>4.64</v>
      </c>
      <c r="W705" s="1096">
        <v>4.29975</v>
      </c>
      <c r="X705" s="506"/>
      <c r="Y705" s="879">
        <v>8.93975</v>
      </c>
      <c r="Z705" s="886">
        <v>110.5646142857143</v>
      </c>
      <c r="AA705" s="869">
        <v>27.641153571428575</v>
      </c>
      <c r="AB705" s="847">
        <v>130</v>
      </c>
      <c r="AC705" s="940">
        <v>964</v>
      </c>
      <c r="AD705" s="830" t="s">
        <v>485</v>
      </c>
      <c r="AE705" s="830">
        <v>1</v>
      </c>
      <c r="AF705" s="803">
        <v>10042</v>
      </c>
    </row>
    <row r="706" spans="1:32" ht="28.5">
      <c r="A706" s="154">
        <v>10043</v>
      </c>
      <c r="B706" s="992"/>
      <c r="C706" s="992" t="s">
        <v>809</v>
      </c>
      <c r="D706" s="525">
        <v>5</v>
      </c>
      <c r="E706" s="504">
        <v>15000</v>
      </c>
      <c r="F706" s="509">
        <v>17</v>
      </c>
      <c r="G706" s="1125">
        <v>3.3</v>
      </c>
      <c r="H706" s="526">
        <v>2.9</v>
      </c>
      <c r="I706" s="526">
        <v>4</v>
      </c>
      <c r="J706" s="771">
        <v>700</v>
      </c>
      <c r="K706" s="145" t="s">
        <v>347</v>
      </c>
      <c r="L706" s="492">
        <v>12</v>
      </c>
      <c r="M706" s="784">
        <v>15000</v>
      </c>
      <c r="N706" s="500">
        <v>0.25</v>
      </c>
      <c r="O706" s="788">
        <v>1.1</v>
      </c>
      <c r="P706" s="492">
        <v>20</v>
      </c>
      <c r="Q706" s="609">
        <v>0.067</v>
      </c>
      <c r="R706" s="610">
        <v>1147.6666666666665</v>
      </c>
      <c r="S706" s="610">
        <v>119</v>
      </c>
      <c r="T706" s="1277">
        <v>1350</v>
      </c>
      <c r="U706" s="608">
        <v>12.886666666666665</v>
      </c>
      <c r="V706" s="526">
        <v>1.1</v>
      </c>
      <c r="W706" s="526"/>
      <c r="X706" s="608">
        <v>1.8760000000000001</v>
      </c>
      <c r="Y706" s="884">
        <v>1.1</v>
      </c>
      <c r="Z706" s="831">
        <v>16.65714285714286</v>
      </c>
      <c r="AA706" s="882">
        <v>3.3314285714285714</v>
      </c>
      <c r="AB706" s="826"/>
      <c r="AC706" s="939">
        <v>30</v>
      </c>
      <c r="AD706" s="826" t="s">
        <v>176</v>
      </c>
      <c r="AE706" s="826">
        <v>0</v>
      </c>
      <c r="AF706" s="804">
        <v>10043</v>
      </c>
    </row>
    <row r="707" spans="1:32" ht="14.25">
      <c r="A707" s="990">
        <v>10044</v>
      </c>
      <c r="B707" s="991"/>
      <c r="C707" s="991" t="s">
        <v>810</v>
      </c>
      <c r="D707" s="1120">
        <v>7</v>
      </c>
      <c r="E707" s="1028">
        <v>14500</v>
      </c>
      <c r="F707" s="1041">
        <v>22</v>
      </c>
      <c r="G707" s="1123">
        <v>3.2</v>
      </c>
      <c r="H707" s="638">
        <v>2.8</v>
      </c>
      <c r="I707" s="638">
        <v>3.8</v>
      </c>
      <c r="J707" s="1124">
        <v>700</v>
      </c>
      <c r="K707" s="1032" t="s">
        <v>347</v>
      </c>
      <c r="L707" s="1251">
        <v>12</v>
      </c>
      <c r="M707" s="1165">
        <v>15000</v>
      </c>
      <c r="N707" s="1264">
        <v>0.25</v>
      </c>
      <c r="O707" s="815">
        <v>1.1</v>
      </c>
      <c r="P707" s="812">
        <v>12</v>
      </c>
      <c r="Q707" s="507">
        <v>0.05</v>
      </c>
      <c r="R707" s="201">
        <v>925.3</v>
      </c>
      <c r="S707" s="201">
        <v>91</v>
      </c>
      <c r="T707" s="1278">
        <v>1261</v>
      </c>
      <c r="U707" s="506">
        <v>20.706</v>
      </c>
      <c r="V707" s="638">
        <v>1.0633333333333335</v>
      </c>
      <c r="W707" s="638"/>
      <c r="X707" s="506">
        <v>1.4000000000000001</v>
      </c>
      <c r="Y707" s="883">
        <v>1.0633333333333335</v>
      </c>
      <c r="Z707" s="828">
        <v>22.05866666666667</v>
      </c>
      <c r="AA707" s="881">
        <v>3.151238095238096</v>
      </c>
      <c r="AB707" s="830"/>
      <c r="AC707" s="940">
        <v>29</v>
      </c>
      <c r="AD707" s="830" t="s">
        <v>176</v>
      </c>
      <c r="AE707" s="830">
        <v>0</v>
      </c>
      <c r="AF707" s="803">
        <v>10044</v>
      </c>
    </row>
    <row r="708" spans="1:32" ht="14.25">
      <c r="A708" s="154">
        <v>10045</v>
      </c>
      <c r="B708" s="992"/>
      <c r="C708" s="992" t="s">
        <v>811</v>
      </c>
      <c r="D708" s="525">
        <v>10</v>
      </c>
      <c r="E708" s="504">
        <v>18000</v>
      </c>
      <c r="F708" s="509">
        <v>29</v>
      </c>
      <c r="G708" s="1125">
        <v>2.9</v>
      </c>
      <c r="H708" s="526">
        <v>2.5</v>
      </c>
      <c r="I708" s="526">
        <v>3.6</v>
      </c>
      <c r="J708" s="771">
        <v>1000</v>
      </c>
      <c r="K708" s="145" t="s">
        <v>347</v>
      </c>
      <c r="L708" s="492">
        <v>12</v>
      </c>
      <c r="M708" s="784">
        <v>20000</v>
      </c>
      <c r="N708" s="500">
        <v>0.1</v>
      </c>
      <c r="O708" s="788">
        <v>1</v>
      </c>
      <c r="P708" s="492">
        <v>15</v>
      </c>
      <c r="Q708" s="609">
        <v>0.1</v>
      </c>
      <c r="R708" s="610">
        <v>2309.5</v>
      </c>
      <c r="S708" s="610">
        <v>721</v>
      </c>
      <c r="T708" s="1277">
        <v>1764</v>
      </c>
      <c r="U708" s="608">
        <v>61.85</v>
      </c>
      <c r="V708" s="526">
        <v>0.9</v>
      </c>
      <c r="W708" s="526"/>
      <c r="X708" s="608">
        <v>2.8000000000000003</v>
      </c>
      <c r="Y708" s="884">
        <v>0.9</v>
      </c>
      <c r="Z708" s="831">
        <v>29.304000000000006</v>
      </c>
      <c r="AA708" s="882">
        <v>2.9304000000000006</v>
      </c>
      <c r="AB708" s="826"/>
      <c r="AC708" s="939">
        <v>36</v>
      </c>
      <c r="AD708" s="826" t="s">
        <v>176</v>
      </c>
      <c r="AE708" s="826">
        <v>0</v>
      </c>
      <c r="AF708" s="804">
        <v>10045</v>
      </c>
    </row>
    <row r="709" spans="1:32" ht="14.25">
      <c r="A709" s="990">
        <v>10046</v>
      </c>
      <c r="B709" s="991"/>
      <c r="C709" s="991" t="s">
        <v>812</v>
      </c>
      <c r="D709" s="1027"/>
      <c r="E709" s="1028">
        <v>4700</v>
      </c>
      <c r="F709" s="1049">
        <v>14.5</v>
      </c>
      <c r="G709" s="1038"/>
      <c r="H709" s="613">
        <v>12</v>
      </c>
      <c r="I709" s="613">
        <v>18.5</v>
      </c>
      <c r="J709" s="1031">
        <v>50</v>
      </c>
      <c r="K709" s="1032"/>
      <c r="L709" s="1251">
        <v>12</v>
      </c>
      <c r="M709" s="1232">
        <v>4000</v>
      </c>
      <c r="N709" s="1264">
        <v>0.25</v>
      </c>
      <c r="O709" s="815">
        <v>2.15</v>
      </c>
      <c r="P709" s="812">
        <v>24</v>
      </c>
      <c r="Q709" s="507">
        <v>0.02</v>
      </c>
      <c r="R709" s="201">
        <v>409.08</v>
      </c>
      <c r="S709" s="201">
        <v>105</v>
      </c>
      <c r="T709" s="1278">
        <v>529.4</v>
      </c>
      <c r="U709" s="506">
        <v>10.449599999999998</v>
      </c>
      <c r="V709" s="613">
        <v>2.52625</v>
      </c>
      <c r="W709" s="613"/>
      <c r="X709" s="506">
        <v>0.56</v>
      </c>
      <c r="Y709" s="827">
        <v>2.52625</v>
      </c>
      <c r="Z709" s="828">
        <v>14.425675</v>
      </c>
      <c r="AA709" s="837"/>
      <c r="AB709" s="830"/>
      <c r="AC709" s="940">
        <v>9.4</v>
      </c>
      <c r="AD709" s="830" t="s">
        <v>483</v>
      </c>
      <c r="AE709" s="830">
        <v>0</v>
      </c>
      <c r="AF709" s="803">
        <v>10046</v>
      </c>
    </row>
    <row r="710" spans="1:32" ht="14.25">
      <c r="A710" s="154">
        <v>10047</v>
      </c>
      <c r="B710" s="992"/>
      <c r="C710" s="992" t="s">
        <v>813</v>
      </c>
      <c r="D710" s="503"/>
      <c r="E710" s="504">
        <v>12000</v>
      </c>
      <c r="F710" s="621">
        <v>26</v>
      </c>
      <c r="G710" s="1037"/>
      <c r="H710" s="506">
        <v>21</v>
      </c>
      <c r="I710" s="506">
        <v>34</v>
      </c>
      <c r="J710" s="764">
        <v>50</v>
      </c>
      <c r="L710" s="492">
        <v>12</v>
      </c>
      <c r="M710" s="780">
        <v>4000</v>
      </c>
      <c r="N710" s="500">
        <v>0.25</v>
      </c>
      <c r="O710" s="788">
        <v>0.45</v>
      </c>
      <c r="P710" s="492">
        <v>20</v>
      </c>
      <c r="Q710" s="609">
        <v>0.05</v>
      </c>
      <c r="R710" s="610">
        <v>2240.2</v>
      </c>
      <c r="S710" s="610">
        <v>140</v>
      </c>
      <c r="T710" s="1277">
        <v>1104</v>
      </c>
      <c r="U710" s="608">
        <v>16.174666666666667</v>
      </c>
      <c r="V710" s="506">
        <v>1.35</v>
      </c>
      <c r="W710" s="506"/>
      <c r="X710" s="608">
        <v>1.4000000000000001</v>
      </c>
      <c r="Y710" s="823">
        <v>1.35</v>
      </c>
      <c r="Z710" s="831">
        <v>25.773000000000003</v>
      </c>
      <c r="AA710" s="836"/>
      <c r="AB710" s="826"/>
      <c r="AC710" s="939">
        <v>24</v>
      </c>
      <c r="AD710" s="826" t="s">
        <v>483</v>
      </c>
      <c r="AE710" s="826">
        <v>0</v>
      </c>
      <c r="AF710" s="804">
        <v>10047</v>
      </c>
    </row>
    <row r="711" spans="1:32" ht="28.5">
      <c r="A711" s="990">
        <v>10048</v>
      </c>
      <c r="B711" s="991"/>
      <c r="C711" s="991" t="s">
        <v>1361</v>
      </c>
      <c r="D711" s="1040" t="s">
        <v>351</v>
      </c>
      <c r="E711" s="1028">
        <v>9600</v>
      </c>
      <c r="F711" s="1049">
        <v>23</v>
      </c>
      <c r="G711" s="1052"/>
      <c r="H711" s="613">
        <v>19</v>
      </c>
      <c r="I711" s="613">
        <v>30</v>
      </c>
      <c r="J711" s="1031">
        <v>50</v>
      </c>
      <c r="K711" s="1032" t="s">
        <v>347</v>
      </c>
      <c r="L711" s="1251">
        <v>12</v>
      </c>
      <c r="M711" s="1232">
        <v>3000</v>
      </c>
      <c r="N711" s="1264">
        <v>0.25</v>
      </c>
      <c r="O711" s="815">
        <v>0.75</v>
      </c>
      <c r="P711" s="812">
        <v>22</v>
      </c>
      <c r="Q711" s="507">
        <v>0.05</v>
      </c>
      <c r="R711" s="201">
        <v>3701.2</v>
      </c>
      <c r="S711" s="201">
        <v>140</v>
      </c>
      <c r="T711" s="1278">
        <v>919.2</v>
      </c>
      <c r="U711" s="506">
        <v>19.586</v>
      </c>
      <c r="V711" s="613">
        <v>2.4000000000000004</v>
      </c>
      <c r="W711" s="613"/>
      <c r="X711" s="506">
        <v>1.4000000000000001</v>
      </c>
      <c r="Y711" s="827">
        <v>2.4000000000000004</v>
      </c>
      <c r="Z711" s="828">
        <v>22.8624</v>
      </c>
      <c r="AA711" s="869"/>
      <c r="AB711" s="830"/>
      <c r="AC711" s="940">
        <v>19.2</v>
      </c>
      <c r="AD711" s="830" t="s">
        <v>483</v>
      </c>
      <c r="AE711" s="830">
        <v>0</v>
      </c>
      <c r="AF711" s="803">
        <v>10048</v>
      </c>
    </row>
    <row r="712" spans="1:32" ht="14.25">
      <c r="A712" s="154"/>
      <c r="B712" s="992"/>
      <c r="C712" s="992"/>
      <c r="D712" s="510"/>
      <c r="E712" s="504"/>
      <c r="F712" s="493"/>
      <c r="G712" s="1033"/>
      <c r="H712" s="494"/>
      <c r="I712" s="494"/>
      <c r="L712" s="492"/>
      <c r="N712" s="500" t="s">
        <v>413</v>
      </c>
      <c r="O712" s="788" t="s">
        <v>413</v>
      </c>
      <c r="P712" s="492"/>
      <c r="Q712" s="507"/>
      <c r="R712" s="201" t="s">
        <v>413</v>
      </c>
      <c r="S712" s="201"/>
      <c r="T712" s="1277" t="s">
        <v>413</v>
      </c>
      <c r="U712" s="506"/>
      <c r="V712" s="494"/>
      <c r="W712" s="494"/>
      <c r="X712" s="506"/>
      <c r="Y712" s="823" t="s">
        <v>413</v>
      </c>
      <c r="Z712" s="832"/>
      <c r="AA712" s="832"/>
      <c r="AB712" s="865"/>
      <c r="AC712" s="939" t="s">
        <v>413</v>
      </c>
      <c r="AD712" s="826" t="s">
        <v>413</v>
      </c>
      <c r="AE712" s="541"/>
      <c r="AF712" s="804"/>
    </row>
    <row r="713" spans="1:32" ht="14.25">
      <c r="A713" s="997"/>
      <c r="B713" s="998"/>
      <c r="C713" s="999" t="s">
        <v>814</v>
      </c>
      <c r="D713" s="1106"/>
      <c r="E713" s="1058"/>
      <c r="F713" s="1059"/>
      <c r="G713" s="1190"/>
      <c r="H713" s="1061"/>
      <c r="I713" s="1061"/>
      <c r="J713" s="1062"/>
      <c r="K713" s="1063"/>
      <c r="L713" s="1253"/>
      <c r="M713" s="1062"/>
      <c r="N713" s="1265" t="s">
        <v>413</v>
      </c>
      <c r="O713" s="817" t="s">
        <v>413</v>
      </c>
      <c r="P713" s="813"/>
      <c r="Q713" s="603"/>
      <c r="R713" s="605" t="s">
        <v>413</v>
      </c>
      <c r="S713" s="606"/>
      <c r="T713" s="1280" t="s">
        <v>413</v>
      </c>
      <c r="U713" s="604"/>
      <c r="V713" s="1108"/>
      <c r="W713" s="1061"/>
      <c r="X713" s="604"/>
      <c r="Y713" s="856" t="s">
        <v>413</v>
      </c>
      <c r="Z713" s="857"/>
      <c r="AA713" s="904"/>
      <c r="AB713" s="859"/>
      <c r="AC713" s="942" t="s">
        <v>413</v>
      </c>
      <c r="AD713" s="859" t="s">
        <v>413</v>
      </c>
      <c r="AE713" s="859"/>
      <c r="AF713" s="805"/>
    </row>
    <row r="714" spans="1:32" ht="14.25">
      <c r="A714" s="496"/>
      <c r="B714" s="761"/>
      <c r="C714" s="496"/>
      <c r="D714" s="525"/>
      <c r="E714" s="504"/>
      <c r="F714" s="509"/>
      <c r="G714" s="1122"/>
      <c r="H714" s="1194"/>
      <c r="I714" s="526"/>
      <c r="J714" s="771"/>
      <c r="K714" s="495"/>
      <c r="L714" s="496"/>
      <c r="M714" s="771"/>
      <c r="N714" s="500" t="s">
        <v>413</v>
      </c>
      <c r="O714" s="788" t="s">
        <v>413</v>
      </c>
      <c r="P714" s="810"/>
      <c r="Q714" s="507"/>
      <c r="R714" s="201" t="s">
        <v>413</v>
      </c>
      <c r="S714" s="201"/>
      <c r="T714" s="1277" t="s">
        <v>413</v>
      </c>
      <c r="U714" s="506"/>
      <c r="V714" s="526"/>
      <c r="W714" s="526"/>
      <c r="X714" s="506"/>
      <c r="Y714" s="823" t="s">
        <v>413</v>
      </c>
      <c r="Z714" s="831"/>
      <c r="AA714" s="882"/>
      <c r="AB714" s="802"/>
      <c r="AC714" s="939" t="s">
        <v>413</v>
      </c>
      <c r="AD714" s="826" t="s">
        <v>413</v>
      </c>
      <c r="AE714" s="826"/>
      <c r="AF714" s="802"/>
    </row>
    <row r="715" spans="1:32" ht="14.25">
      <c r="A715" s="987">
        <v>11000</v>
      </c>
      <c r="B715" s="988"/>
      <c r="C715" s="989" t="s">
        <v>815</v>
      </c>
      <c r="D715" s="1021"/>
      <c r="E715" s="1022"/>
      <c r="F715" s="1023"/>
      <c r="G715" s="1024"/>
      <c r="H715" s="1195"/>
      <c r="I715" s="1025"/>
      <c r="J715" s="1026"/>
      <c r="K715" s="1026"/>
      <c r="L715" s="1021"/>
      <c r="M715" s="1026"/>
      <c r="N715" s="1263" t="s">
        <v>413</v>
      </c>
      <c r="O715" s="816" t="s">
        <v>413</v>
      </c>
      <c r="P715" s="809"/>
      <c r="Q715" s="642">
        <v>0.01</v>
      </c>
      <c r="R715" s="610">
        <v>1022.7</v>
      </c>
      <c r="S715" s="610">
        <v>343</v>
      </c>
      <c r="T715" s="1276" t="s">
        <v>413</v>
      </c>
      <c r="U715" s="608">
        <v>19.810000000000002</v>
      </c>
      <c r="V715" s="1025"/>
      <c r="W715" s="1025"/>
      <c r="X715" s="608">
        <v>0.28</v>
      </c>
      <c r="Y715" s="833" t="s">
        <v>413</v>
      </c>
      <c r="Z715" s="820"/>
      <c r="AA715" s="821"/>
      <c r="AB715" s="822"/>
      <c r="AC715" s="938" t="s">
        <v>413</v>
      </c>
      <c r="AD715" s="822" t="s">
        <v>413</v>
      </c>
      <c r="AE715" s="822"/>
      <c r="AF715" s="801">
        <v>11000</v>
      </c>
    </row>
    <row r="716" spans="1:32" ht="14.25">
      <c r="A716" s="496"/>
      <c r="B716" s="761"/>
      <c r="C716" s="496"/>
      <c r="D716" s="525"/>
      <c r="E716" s="504"/>
      <c r="F716" s="509"/>
      <c r="G716" s="1122"/>
      <c r="H716" s="1194"/>
      <c r="I716" s="526"/>
      <c r="J716" s="771"/>
      <c r="K716" s="495"/>
      <c r="L716" s="496"/>
      <c r="M716" s="771"/>
      <c r="N716" s="500" t="s">
        <v>413</v>
      </c>
      <c r="O716" s="788" t="s">
        <v>413</v>
      </c>
      <c r="P716" s="810"/>
      <c r="Q716" s="538">
        <v>0.01</v>
      </c>
      <c r="R716" s="201">
        <v>1363.6</v>
      </c>
      <c r="S716" s="201">
        <v>525</v>
      </c>
      <c r="T716" s="1277" t="s">
        <v>413</v>
      </c>
      <c r="U716" s="506">
        <v>27.38</v>
      </c>
      <c r="V716" s="526"/>
      <c r="W716" s="526"/>
      <c r="X716" s="506">
        <v>0.28</v>
      </c>
      <c r="Y716" s="823" t="s">
        <v>413</v>
      </c>
      <c r="Z716" s="831"/>
      <c r="AA716" s="882"/>
      <c r="AB716" s="802"/>
      <c r="AC716" s="939" t="s">
        <v>413</v>
      </c>
      <c r="AD716" s="826" t="s">
        <v>413</v>
      </c>
      <c r="AE716" s="826"/>
      <c r="AF716" s="802"/>
    </row>
    <row r="717" spans="1:32" ht="14.25">
      <c r="A717" s="990">
        <v>11001</v>
      </c>
      <c r="B717" s="991"/>
      <c r="C717" s="991" t="s">
        <v>816</v>
      </c>
      <c r="D717" s="1040" t="s">
        <v>347</v>
      </c>
      <c r="E717" s="1028">
        <v>5400</v>
      </c>
      <c r="F717" s="1049">
        <v>19</v>
      </c>
      <c r="G717" s="1052"/>
      <c r="H717" s="616">
        <v>17</v>
      </c>
      <c r="I717" s="613">
        <v>23</v>
      </c>
      <c r="J717" s="1031">
        <v>50</v>
      </c>
      <c r="K717" s="1032" t="s">
        <v>347</v>
      </c>
      <c r="L717" s="1251">
        <v>12</v>
      </c>
      <c r="M717" s="1031">
        <v>800</v>
      </c>
      <c r="N717" s="1264">
        <v>0.1</v>
      </c>
      <c r="O717" s="815">
        <v>1</v>
      </c>
      <c r="P717" s="812">
        <v>7</v>
      </c>
      <c r="Q717" s="642">
        <v>0.01</v>
      </c>
      <c r="R717" s="610">
        <v>876.6</v>
      </c>
      <c r="S717" s="610">
        <v>343</v>
      </c>
      <c r="T717" s="1278">
        <v>544.2</v>
      </c>
      <c r="U717" s="608">
        <v>17.68</v>
      </c>
      <c r="V717" s="613">
        <v>6.75</v>
      </c>
      <c r="W717" s="613"/>
      <c r="X717" s="608">
        <v>0.28</v>
      </c>
      <c r="Y717" s="827">
        <v>6.75</v>
      </c>
      <c r="Z717" s="828">
        <v>19.3974</v>
      </c>
      <c r="AA717" s="869"/>
      <c r="AB717" s="830"/>
      <c r="AC717" s="940">
        <v>10.8</v>
      </c>
      <c r="AD717" s="830" t="s">
        <v>483</v>
      </c>
      <c r="AE717" s="830">
        <v>0</v>
      </c>
      <c r="AF717" s="803">
        <v>11001</v>
      </c>
    </row>
    <row r="718" spans="1:32" ht="14.25">
      <c r="A718" s="154">
        <v>11002</v>
      </c>
      <c r="B718" s="992"/>
      <c r="C718" s="992" t="s">
        <v>817</v>
      </c>
      <c r="D718" s="510" t="s">
        <v>347</v>
      </c>
      <c r="E718" s="504">
        <v>9500</v>
      </c>
      <c r="F718" s="621">
        <v>32</v>
      </c>
      <c r="G718" s="1053"/>
      <c r="H718" s="506">
        <v>28</v>
      </c>
      <c r="I718" s="506">
        <v>39</v>
      </c>
      <c r="J718" s="764">
        <v>50</v>
      </c>
      <c r="K718" s="145" t="s">
        <v>347</v>
      </c>
      <c r="L718" s="492">
        <v>12</v>
      </c>
      <c r="M718" s="764">
        <v>800</v>
      </c>
      <c r="N718" s="500">
        <v>0.1</v>
      </c>
      <c r="O718" s="788">
        <v>0.9</v>
      </c>
      <c r="P718" s="492">
        <v>8</v>
      </c>
      <c r="Q718" s="538">
        <v>0.01</v>
      </c>
      <c r="R718" s="201">
        <v>1120.1</v>
      </c>
      <c r="S718" s="201">
        <v>525</v>
      </c>
      <c r="T718" s="1277">
        <v>931.5</v>
      </c>
      <c r="U718" s="506">
        <v>23.83</v>
      </c>
      <c r="V718" s="506">
        <v>10.6875</v>
      </c>
      <c r="W718" s="506"/>
      <c r="X718" s="506">
        <v>0.28</v>
      </c>
      <c r="Y718" s="823">
        <v>10.6875</v>
      </c>
      <c r="Z718" s="831">
        <v>32.24925</v>
      </c>
      <c r="AA718" s="866"/>
      <c r="AB718" s="826"/>
      <c r="AC718" s="939">
        <v>19</v>
      </c>
      <c r="AD718" s="826" t="s">
        <v>483</v>
      </c>
      <c r="AE718" s="826">
        <v>0</v>
      </c>
      <c r="AF718" s="804">
        <v>11002</v>
      </c>
    </row>
    <row r="719" spans="1:32" ht="14.25">
      <c r="A719" s="990">
        <v>11003</v>
      </c>
      <c r="B719" s="991"/>
      <c r="C719" s="991" t="s">
        <v>818</v>
      </c>
      <c r="D719" s="1040" t="s">
        <v>347</v>
      </c>
      <c r="E719" s="1028">
        <v>6200</v>
      </c>
      <c r="F719" s="1049">
        <v>21</v>
      </c>
      <c r="G719" s="1052"/>
      <c r="H719" s="613">
        <v>18</v>
      </c>
      <c r="I719" s="613">
        <v>25</v>
      </c>
      <c r="J719" s="1031">
        <v>50</v>
      </c>
      <c r="K719" s="1032" t="s">
        <v>347</v>
      </c>
      <c r="L719" s="1251">
        <v>12</v>
      </c>
      <c r="M719" s="1031">
        <v>800</v>
      </c>
      <c r="N719" s="1264">
        <v>0.1</v>
      </c>
      <c r="O719" s="815">
        <v>0.95</v>
      </c>
      <c r="P719" s="812">
        <v>2</v>
      </c>
      <c r="Q719" s="642">
        <v>0.02</v>
      </c>
      <c r="R719" s="610">
        <v>350.64000000000004</v>
      </c>
      <c r="S719" s="610">
        <v>105</v>
      </c>
      <c r="T719" s="1278">
        <v>588.6</v>
      </c>
      <c r="U719" s="608">
        <v>6.612</v>
      </c>
      <c r="V719" s="613">
        <v>7.3625</v>
      </c>
      <c r="W719" s="613"/>
      <c r="X719" s="608">
        <v>0.56</v>
      </c>
      <c r="Y719" s="827">
        <v>7.3625</v>
      </c>
      <c r="Z719" s="828">
        <v>21.04795</v>
      </c>
      <c r="AA719" s="869"/>
      <c r="AB719" s="830"/>
      <c r="AC719" s="940">
        <v>12.4</v>
      </c>
      <c r="AD719" s="830" t="s">
        <v>483</v>
      </c>
      <c r="AE719" s="830">
        <v>0</v>
      </c>
      <c r="AF719" s="803">
        <v>11003</v>
      </c>
    </row>
    <row r="720" spans="1:32" ht="14.25">
      <c r="A720" s="154">
        <v>11004</v>
      </c>
      <c r="B720" s="992"/>
      <c r="C720" s="992" t="s">
        <v>819</v>
      </c>
      <c r="D720" s="510"/>
      <c r="E720" s="504">
        <v>25000</v>
      </c>
      <c r="F720" s="621">
        <v>53</v>
      </c>
      <c r="G720" s="1053"/>
      <c r="H720" s="506">
        <v>43</v>
      </c>
      <c r="I720" s="506">
        <v>69</v>
      </c>
      <c r="J720" s="764">
        <v>50</v>
      </c>
      <c r="K720" s="145" t="s">
        <v>347</v>
      </c>
      <c r="L720" s="492">
        <v>12</v>
      </c>
      <c r="M720" s="780">
        <v>4000</v>
      </c>
      <c r="N720" s="500">
        <v>0.25</v>
      </c>
      <c r="O720" s="815">
        <v>0.7</v>
      </c>
      <c r="P720" s="492">
        <v>23</v>
      </c>
      <c r="Q720" s="538">
        <v>0.01</v>
      </c>
      <c r="R720" s="201">
        <v>1753.2</v>
      </c>
      <c r="S720" s="201">
        <v>693</v>
      </c>
      <c r="T720" s="1278">
        <v>2188</v>
      </c>
      <c r="U720" s="506">
        <v>35.46</v>
      </c>
      <c r="V720" s="506">
        <v>4.375</v>
      </c>
      <c r="W720" s="506"/>
      <c r="X720" s="506">
        <v>0.28</v>
      </c>
      <c r="Y720" s="827">
        <v>4.375</v>
      </c>
      <c r="Z720" s="905">
        <v>52.9485</v>
      </c>
      <c r="AA720" s="906"/>
      <c r="AB720" s="826"/>
      <c r="AC720" s="939">
        <v>50</v>
      </c>
      <c r="AD720" s="830" t="s">
        <v>483</v>
      </c>
      <c r="AE720" s="826">
        <v>0</v>
      </c>
      <c r="AF720" s="804">
        <v>11004</v>
      </c>
    </row>
    <row r="721" spans="1:32" ht="14.25">
      <c r="A721" s="496"/>
      <c r="B721" s="761"/>
      <c r="C721" s="496"/>
      <c r="D721" s="525"/>
      <c r="E721" s="504"/>
      <c r="F721" s="509"/>
      <c r="G721" s="1122"/>
      <c r="H721" s="526"/>
      <c r="I721" s="526"/>
      <c r="J721" s="771"/>
      <c r="K721" s="495"/>
      <c r="L721" s="496"/>
      <c r="M721" s="771"/>
      <c r="N721" s="500" t="s">
        <v>413</v>
      </c>
      <c r="O721" s="788" t="s">
        <v>413</v>
      </c>
      <c r="P721" s="810"/>
      <c r="Q721" s="507"/>
      <c r="R721" s="201" t="s">
        <v>413</v>
      </c>
      <c r="S721" s="201"/>
      <c r="T721" s="1277" t="s">
        <v>413</v>
      </c>
      <c r="U721" s="506"/>
      <c r="V721" s="526"/>
      <c r="W721" s="526"/>
      <c r="X721" s="506"/>
      <c r="Y721" s="823" t="s">
        <v>413</v>
      </c>
      <c r="Z721" s="831"/>
      <c r="AA721" s="882"/>
      <c r="AB721" s="802"/>
      <c r="AC721" s="939" t="s">
        <v>413</v>
      </c>
      <c r="AD721" s="826" t="s">
        <v>413</v>
      </c>
      <c r="AE721" s="826"/>
      <c r="AF721" s="802"/>
    </row>
    <row r="722" spans="1:32" ht="14.25">
      <c r="A722" s="987">
        <v>11010</v>
      </c>
      <c r="B722" s="988"/>
      <c r="C722" s="989" t="s">
        <v>820</v>
      </c>
      <c r="D722" s="1021"/>
      <c r="E722" s="1022"/>
      <c r="F722" s="1023"/>
      <c r="G722" s="1024"/>
      <c r="H722" s="1025"/>
      <c r="I722" s="1025"/>
      <c r="J722" s="1026"/>
      <c r="K722" s="1026"/>
      <c r="L722" s="1021"/>
      <c r="M722" s="1026"/>
      <c r="N722" s="1263" t="s">
        <v>413</v>
      </c>
      <c r="O722" s="816" t="s">
        <v>413</v>
      </c>
      <c r="P722" s="809"/>
      <c r="Q722" s="603"/>
      <c r="R722" s="605" t="s">
        <v>413</v>
      </c>
      <c r="S722" s="606"/>
      <c r="T722" s="1276" t="s">
        <v>413</v>
      </c>
      <c r="U722" s="604"/>
      <c r="V722" s="1025"/>
      <c r="W722" s="1025"/>
      <c r="X722" s="604"/>
      <c r="Y722" s="833" t="s">
        <v>413</v>
      </c>
      <c r="Z722" s="820"/>
      <c r="AA722" s="821"/>
      <c r="AB722" s="822"/>
      <c r="AC722" s="938" t="s">
        <v>413</v>
      </c>
      <c r="AD722" s="822" t="s">
        <v>413</v>
      </c>
      <c r="AE722" s="822"/>
      <c r="AF722" s="801">
        <v>11010</v>
      </c>
    </row>
    <row r="723" spans="1:32" ht="14.25">
      <c r="A723" s="496"/>
      <c r="B723" s="761"/>
      <c r="C723" s="496"/>
      <c r="D723" s="525"/>
      <c r="E723" s="504"/>
      <c r="F723" s="509"/>
      <c r="G723" s="1122"/>
      <c r="H723" s="526"/>
      <c r="I723" s="526"/>
      <c r="J723" s="771"/>
      <c r="K723" s="495"/>
      <c r="L723" s="496"/>
      <c r="M723" s="771"/>
      <c r="N723" s="500" t="s">
        <v>413</v>
      </c>
      <c r="O723" s="788" t="s">
        <v>413</v>
      </c>
      <c r="P723" s="810"/>
      <c r="Q723" s="495"/>
      <c r="R723" s="201" t="s">
        <v>413</v>
      </c>
      <c r="S723" s="499"/>
      <c r="T723" s="1277" t="s">
        <v>413</v>
      </c>
      <c r="U723" s="495"/>
      <c r="V723" s="526"/>
      <c r="W723" s="526"/>
      <c r="X723" s="495"/>
      <c r="Y723" s="823" t="s">
        <v>413</v>
      </c>
      <c r="Z723" s="831"/>
      <c r="AA723" s="882"/>
      <c r="AB723" s="802"/>
      <c r="AC723" s="939" t="s">
        <v>413</v>
      </c>
      <c r="AD723" s="826" t="s">
        <v>413</v>
      </c>
      <c r="AE723" s="826"/>
      <c r="AF723" s="802"/>
    </row>
    <row r="724" spans="1:32" ht="14.25">
      <c r="A724" s="990">
        <v>11011</v>
      </c>
      <c r="B724" s="991"/>
      <c r="C724" s="991" t="s">
        <v>821</v>
      </c>
      <c r="D724" s="1040"/>
      <c r="E724" s="1028">
        <v>4600</v>
      </c>
      <c r="F724" s="1049">
        <v>16</v>
      </c>
      <c r="G724" s="1066"/>
      <c r="H724" s="613">
        <v>14</v>
      </c>
      <c r="I724" s="613">
        <v>20</v>
      </c>
      <c r="J724" s="1031">
        <v>50</v>
      </c>
      <c r="K724" s="1032" t="s">
        <v>347</v>
      </c>
      <c r="L724" s="1251">
        <v>12</v>
      </c>
      <c r="M724" s="1232">
        <v>1200</v>
      </c>
      <c r="N724" s="1264">
        <v>0.25</v>
      </c>
      <c r="O724" s="815">
        <v>1.35</v>
      </c>
      <c r="P724" s="812">
        <v>19</v>
      </c>
      <c r="Q724" s="609">
        <v>0.03333</v>
      </c>
      <c r="R724" s="610">
        <v>3993.4</v>
      </c>
      <c r="S724" s="610">
        <v>350</v>
      </c>
      <c r="T724" s="1278">
        <v>491.2</v>
      </c>
      <c r="U724" s="633">
        <v>11.0635</v>
      </c>
      <c r="V724" s="613">
        <v>5.175000000000001</v>
      </c>
      <c r="W724" s="613"/>
      <c r="X724" s="633">
        <v>0.93324</v>
      </c>
      <c r="Y724" s="827">
        <v>5.175000000000001</v>
      </c>
      <c r="Z724" s="828">
        <v>16.498900000000003</v>
      </c>
      <c r="AA724" s="838"/>
      <c r="AB724" s="830"/>
      <c r="AC724" s="940">
        <v>9.200000000000001</v>
      </c>
      <c r="AD724" s="830" t="s">
        <v>483</v>
      </c>
      <c r="AE724" s="830">
        <v>0</v>
      </c>
      <c r="AF724" s="803">
        <v>11011</v>
      </c>
    </row>
    <row r="725" spans="1:32" ht="28.5">
      <c r="A725" s="154">
        <v>11012</v>
      </c>
      <c r="B725" s="992"/>
      <c r="C725" s="992" t="s">
        <v>1224</v>
      </c>
      <c r="D725" s="510" t="s">
        <v>347</v>
      </c>
      <c r="E725" s="504">
        <v>2800</v>
      </c>
      <c r="F725" s="621">
        <v>10</v>
      </c>
      <c r="G725" s="1053"/>
      <c r="H725" s="506">
        <v>9</v>
      </c>
      <c r="I725" s="506">
        <v>12</v>
      </c>
      <c r="J725" s="764">
        <v>50</v>
      </c>
      <c r="K725" s="145" t="s">
        <v>347</v>
      </c>
      <c r="L725" s="492">
        <v>12</v>
      </c>
      <c r="M725" s="780">
        <v>2000</v>
      </c>
      <c r="N725" s="500">
        <v>0.25</v>
      </c>
      <c r="O725" s="788">
        <v>2.8</v>
      </c>
      <c r="P725" s="492">
        <v>6</v>
      </c>
      <c r="Q725" s="507">
        <v>0.03333</v>
      </c>
      <c r="R725" s="201">
        <v>4577.8</v>
      </c>
      <c r="S725" s="201">
        <v>420</v>
      </c>
      <c r="T725" s="1277">
        <v>265.6</v>
      </c>
      <c r="U725" s="520">
        <v>12.7295</v>
      </c>
      <c r="V725" s="506">
        <v>3.9199999999999995</v>
      </c>
      <c r="W725" s="506"/>
      <c r="X725" s="520">
        <v>0.93324</v>
      </c>
      <c r="Y725" s="823">
        <v>3.9199999999999995</v>
      </c>
      <c r="Z725" s="831">
        <v>10.1552</v>
      </c>
      <c r="AA725" s="866"/>
      <c r="AB725" s="826"/>
      <c r="AC725" s="939">
        <v>5.6000000000000005</v>
      </c>
      <c r="AD725" s="826" t="s">
        <v>483</v>
      </c>
      <c r="AE725" s="826">
        <v>0</v>
      </c>
      <c r="AF725" s="804">
        <v>11012</v>
      </c>
    </row>
    <row r="726" spans="1:32" ht="28.5">
      <c r="A726" s="990">
        <v>11013</v>
      </c>
      <c r="B726" s="991"/>
      <c r="C726" s="991" t="s">
        <v>1225</v>
      </c>
      <c r="D726" s="1040" t="s">
        <v>347</v>
      </c>
      <c r="E726" s="1028">
        <v>5900</v>
      </c>
      <c r="F726" s="1049">
        <v>17</v>
      </c>
      <c r="G726" s="1052"/>
      <c r="H726" s="613">
        <v>15</v>
      </c>
      <c r="I726" s="613">
        <v>20</v>
      </c>
      <c r="J726" s="1031">
        <v>60</v>
      </c>
      <c r="K726" s="1032" t="s">
        <v>347</v>
      </c>
      <c r="L726" s="1251">
        <v>12</v>
      </c>
      <c r="M726" s="1232">
        <v>2000</v>
      </c>
      <c r="N726" s="1264">
        <v>0.25</v>
      </c>
      <c r="O726" s="815">
        <v>2.15</v>
      </c>
      <c r="P726" s="812">
        <v>9</v>
      </c>
      <c r="Q726" s="609">
        <v>0.03333</v>
      </c>
      <c r="R726" s="610">
        <v>5259.6</v>
      </c>
      <c r="S726" s="610">
        <v>469</v>
      </c>
      <c r="T726" s="1278">
        <v>537.8</v>
      </c>
      <c r="U726" s="633">
        <v>14.591500000000002</v>
      </c>
      <c r="V726" s="613">
        <v>6.3425</v>
      </c>
      <c r="W726" s="613"/>
      <c r="X726" s="633">
        <v>0.93324</v>
      </c>
      <c r="Y726" s="827">
        <v>6.3425</v>
      </c>
      <c r="Z726" s="828">
        <v>16.83641666666667</v>
      </c>
      <c r="AA726" s="869"/>
      <c r="AB726" s="830"/>
      <c r="AC726" s="940">
        <v>11.8</v>
      </c>
      <c r="AD726" s="830" t="s">
        <v>483</v>
      </c>
      <c r="AE726" s="830">
        <v>0</v>
      </c>
      <c r="AF726" s="803">
        <v>11013</v>
      </c>
    </row>
    <row r="727" spans="1:32" ht="14.25">
      <c r="A727" s="154"/>
      <c r="B727" s="992"/>
      <c r="C727" s="154"/>
      <c r="D727" s="205"/>
      <c r="E727" s="504"/>
      <c r="F727" s="509"/>
      <c r="G727" s="1122"/>
      <c r="H727" s="526"/>
      <c r="I727" s="526"/>
      <c r="J727" s="771"/>
      <c r="L727" s="492"/>
      <c r="M727" s="771"/>
      <c r="N727" s="500" t="s">
        <v>413</v>
      </c>
      <c r="O727" s="788" t="s">
        <v>413</v>
      </c>
      <c r="P727" s="492"/>
      <c r="Q727" s="507">
        <v>0.03333</v>
      </c>
      <c r="R727" s="201">
        <v>5133</v>
      </c>
      <c r="S727" s="201">
        <v>518</v>
      </c>
      <c r="T727" s="1277" t="s">
        <v>413</v>
      </c>
      <c r="U727" s="520">
        <v>14.4225</v>
      </c>
      <c r="V727" s="526"/>
      <c r="W727" s="526"/>
      <c r="X727" s="520">
        <v>0.93324</v>
      </c>
      <c r="Y727" s="823" t="s">
        <v>413</v>
      </c>
      <c r="Z727" s="831"/>
      <c r="AA727" s="907"/>
      <c r="AB727" s="826"/>
      <c r="AC727" s="939" t="s">
        <v>413</v>
      </c>
      <c r="AD727" s="826" t="s">
        <v>413</v>
      </c>
      <c r="AE727" s="826"/>
      <c r="AF727" s="804"/>
    </row>
    <row r="728" spans="1:32" ht="14.25">
      <c r="A728" s="987">
        <v>11020</v>
      </c>
      <c r="B728" s="988"/>
      <c r="C728" s="989" t="s">
        <v>822</v>
      </c>
      <c r="D728" s="1021"/>
      <c r="E728" s="1022"/>
      <c r="F728" s="1023"/>
      <c r="G728" s="1024"/>
      <c r="H728" s="1025"/>
      <c r="I728" s="1025"/>
      <c r="J728" s="1026"/>
      <c r="K728" s="1026"/>
      <c r="L728" s="1021"/>
      <c r="M728" s="1026"/>
      <c r="N728" s="1263" t="s">
        <v>413</v>
      </c>
      <c r="O728" s="816" t="s">
        <v>413</v>
      </c>
      <c r="P728" s="809"/>
      <c r="Q728" s="609">
        <v>0.03333</v>
      </c>
      <c r="R728" s="610">
        <v>5742</v>
      </c>
      <c r="S728" s="610">
        <v>553</v>
      </c>
      <c r="T728" s="1276" t="s">
        <v>413</v>
      </c>
      <c r="U728" s="633">
        <v>16.0675</v>
      </c>
      <c r="V728" s="1025"/>
      <c r="W728" s="1025"/>
      <c r="X728" s="633">
        <v>0.93324</v>
      </c>
      <c r="Y728" s="833" t="s">
        <v>413</v>
      </c>
      <c r="Z728" s="820"/>
      <c r="AA728" s="821"/>
      <c r="AB728" s="822"/>
      <c r="AC728" s="938" t="s">
        <v>413</v>
      </c>
      <c r="AD728" s="822" t="s">
        <v>413</v>
      </c>
      <c r="AE728" s="822"/>
      <c r="AF728" s="801">
        <v>11020</v>
      </c>
    </row>
    <row r="729" spans="1:32" ht="14.25">
      <c r="A729" s="496"/>
      <c r="B729" s="761"/>
      <c r="C729" s="496"/>
      <c r="D729" s="525"/>
      <c r="E729" s="504"/>
      <c r="F729" s="509"/>
      <c r="G729" s="1122"/>
      <c r="H729" s="526"/>
      <c r="I729" s="526"/>
      <c r="J729" s="771"/>
      <c r="K729" s="495"/>
      <c r="L729" s="496"/>
      <c r="M729" s="771"/>
      <c r="N729" s="500" t="s">
        <v>413</v>
      </c>
      <c r="O729" s="788" t="s">
        <v>413</v>
      </c>
      <c r="P729" s="810"/>
      <c r="Q729" s="507">
        <v>0.03333</v>
      </c>
      <c r="R729" s="201">
        <v>7743</v>
      </c>
      <c r="S729" s="201">
        <v>630</v>
      </c>
      <c r="T729" s="1277" t="s">
        <v>413</v>
      </c>
      <c r="U729" s="520">
        <v>21.3775</v>
      </c>
      <c r="V729" s="526"/>
      <c r="W729" s="526"/>
      <c r="X729" s="520">
        <v>0.93324</v>
      </c>
      <c r="Y729" s="823" t="s">
        <v>413</v>
      </c>
      <c r="Z729" s="831"/>
      <c r="AA729" s="882"/>
      <c r="AB729" s="802"/>
      <c r="AC729" s="939" t="s">
        <v>413</v>
      </c>
      <c r="AD729" s="826" t="s">
        <v>413</v>
      </c>
      <c r="AE729" s="826"/>
      <c r="AF729" s="802"/>
    </row>
    <row r="730" spans="1:32" ht="14.25">
      <c r="A730" s="990">
        <v>11021</v>
      </c>
      <c r="B730" s="991"/>
      <c r="C730" s="991" t="s">
        <v>1394</v>
      </c>
      <c r="D730" s="1027">
        <v>4</v>
      </c>
      <c r="E730" s="1028">
        <v>2000</v>
      </c>
      <c r="F730" s="1049">
        <v>6</v>
      </c>
      <c r="G730" s="1030"/>
      <c r="H730" s="613">
        <v>5.6</v>
      </c>
      <c r="I730" s="613">
        <v>6.7</v>
      </c>
      <c r="J730" s="1031">
        <v>80</v>
      </c>
      <c r="K730" s="1032">
        <v>90</v>
      </c>
      <c r="L730" s="1251">
        <v>15</v>
      </c>
      <c r="M730" s="1232">
        <v>4000</v>
      </c>
      <c r="N730" s="1264">
        <v>0.25</v>
      </c>
      <c r="O730" s="815">
        <v>2.1</v>
      </c>
      <c r="P730" s="812">
        <v>1</v>
      </c>
      <c r="Q730" s="609">
        <v>0.03333</v>
      </c>
      <c r="R730" s="610">
        <v>5259.6</v>
      </c>
      <c r="S730" s="610">
        <v>385</v>
      </c>
      <c r="T730" s="1278">
        <v>145</v>
      </c>
      <c r="U730" s="633">
        <v>14.3815</v>
      </c>
      <c r="V730" s="613">
        <v>1.05</v>
      </c>
      <c r="W730" s="613">
        <v>2.61</v>
      </c>
      <c r="X730" s="633">
        <v>0.93324</v>
      </c>
      <c r="Y730" s="827">
        <v>3.66</v>
      </c>
      <c r="Z730" s="828">
        <v>6.019750000000001</v>
      </c>
      <c r="AA730" s="829"/>
      <c r="AB730" s="830"/>
      <c r="AC730" s="940">
        <v>4</v>
      </c>
      <c r="AD730" s="830" t="s">
        <v>483</v>
      </c>
      <c r="AE730" s="830">
        <v>2</v>
      </c>
      <c r="AF730" s="803">
        <v>11021</v>
      </c>
    </row>
    <row r="731" spans="1:32" ht="14.25">
      <c r="A731" s="154">
        <v>11022</v>
      </c>
      <c r="B731" s="992"/>
      <c r="C731" s="992" t="s">
        <v>823</v>
      </c>
      <c r="D731" s="503">
        <v>7</v>
      </c>
      <c r="E731" s="504">
        <v>13000</v>
      </c>
      <c r="F731" s="621">
        <v>20</v>
      </c>
      <c r="G731" s="1033"/>
      <c r="H731" s="506">
        <v>17</v>
      </c>
      <c r="I731" s="506">
        <v>24</v>
      </c>
      <c r="J731" s="764">
        <v>80</v>
      </c>
      <c r="K731" s="145">
        <v>90</v>
      </c>
      <c r="L731" s="492">
        <v>15</v>
      </c>
      <c r="M731" s="780">
        <v>4000</v>
      </c>
      <c r="N731" s="500">
        <v>0.25</v>
      </c>
      <c r="O731" s="788">
        <v>1.15</v>
      </c>
      <c r="P731" s="492">
        <v>1</v>
      </c>
      <c r="Q731" s="507">
        <v>0.03333</v>
      </c>
      <c r="R731" s="201">
        <v>6233.6</v>
      </c>
      <c r="S731" s="201">
        <v>448</v>
      </c>
      <c r="T731" s="1277">
        <v>909.5</v>
      </c>
      <c r="U731" s="520">
        <v>17.024</v>
      </c>
      <c r="V731" s="506">
        <v>3.7375</v>
      </c>
      <c r="W731" s="506">
        <v>2.7783</v>
      </c>
      <c r="X731" s="520">
        <v>0.93324</v>
      </c>
      <c r="Y731" s="823">
        <v>6.5158000000000005</v>
      </c>
      <c r="Z731" s="831">
        <v>19.673005000000003</v>
      </c>
      <c r="AA731" s="832"/>
      <c r="AB731" s="826"/>
      <c r="AC731" s="939">
        <v>26</v>
      </c>
      <c r="AD731" s="826" t="s">
        <v>483</v>
      </c>
      <c r="AE731" s="826">
        <v>1</v>
      </c>
      <c r="AF731" s="804">
        <v>11022</v>
      </c>
    </row>
    <row r="732" spans="1:32" ht="14.25">
      <c r="A732" s="990">
        <v>11023</v>
      </c>
      <c r="B732" s="991"/>
      <c r="C732" s="991" t="s">
        <v>824</v>
      </c>
      <c r="D732" s="1027"/>
      <c r="E732" s="1028">
        <v>3800</v>
      </c>
      <c r="F732" s="1049">
        <v>6</v>
      </c>
      <c r="G732" s="1030"/>
      <c r="H732" s="613">
        <v>5.1</v>
      </c>
      <c r="I732" s="613">
        <v>7.3</v>
      </c>
      <c r="J732" s="1031">
        <v>80</v>
      </c>
      <c r="K732" s="1032"/>
      <c r="L732" s="1251">
        <v>15</v>
      </c>
      <c r="M732" s="1232">
        <v>4000</v>
      </c>
      <c r="N732" s="1264">
        <v>0.25</v>
      </c>
      <c r="O732" s="815">
        <v>1.75</v>
      </c>
      <c r="P732" s="812">
        <v>6</v>
      </c>
      <c r="Q732" s="609">
        <v>0.03333</v>
      </c>
      <c r="R732" s="610">
        <v>6623.2</v>
      </c>
      <c r="S732" s="610">
        <v>476</v>
      </c>
      <c r="T732" s="1278">
        <v>300.1</v>
      </c>
      <c r="U732" s="633">
        <v>18.088</v>
      </c>
      <c r="V732" s="613">
        <v>1.6624999999999999</v>
      </c>
      <c r="W732" s="613"/>
      <c r="X732" s="633">
        <v>0.93324</v>
      </c>
      <c r="Y732" s="827">
        <v>1.6624999999999999</v>
      </c>
      <c r="Z732" s="828">
        <v>5.955125000000001</v>
      </c>
      <c r="AA732" s="829"/>
      <c r="AB732" s="830"/>
      <c r="AC732" s="940">
        <v>7.6000000000000005</v>
      </c>
      <c r="AD732" s="830" t="s">
        <v>483</v>
      </c>
      <c r="AE732" s="830">
        <v>0</v>
      </c>
      <c r="AF732" s="803">
        <v>11023</v>
      </c>
    </row>
    <row r="733" spans="1:32" ht="14.25">
      <c r="A733" s="154">
        <v>11024</v>
      </c>
      <c r="B733" s="992"/>
      <c r="C733" s="992" t="s">
        <v>825</v>
      </c>
      <c r="D733" s="503"/>
      <c r="E733" s="504">
        <v>980</v>
      </c>
      <c r="F733" s="621">
        <v>4.1</v>
      </c>
      <c r="G733" s="1037"/>
      <c r="H733" s="506">
        <v>3.4</v>
      </c>
      <c r="I733" s="506">
        <v>5.1</v>
      </c>
      <c r="J733" s="764">
        <v>50</v>
      </c>
      <c r="L733" s="492">
        <v>12</v>
      </c>
      <c r="M733" s="780">
        <v>3000</v>
      </c>
      <c r="N733" s="500">
        <v>0.25</v>
      </c>
      <c r="O733" s="788">
        <v>2.7</v>
      </c>
      <c r="P733" s="492">
        <v>10</v>
      </c>
      <c r="Q733" s="507">
        <v>0.03333</v>
      </c>
      <c r="R733" s="201">
        <v>6351</v>
      </c>
      <c r="S733" s="201">
        <v>518</v>
      </c>
      <c r="T733" s="1277">
        <v>140.35999999999999</v>
      </c>
      <c r="U733" s="520">
        <v>17.5375</v>
      </c>
      <c r="V733" s="506">
        <v>0.882</v>
      </c>
      <c r="W733" s="506"/>
      <c r="X733" s="520">
        <v>0.93324</v>
      </c>
      <c r="Y733" s="823">
        <v>0.882</v>
      </c>
      <c r="Z733" s="831">
        <v>4.058120000000001</v>
      </c>
      <c r="AA733" s="836"/>
      <c r="AB733" s="826"/>
      <c r="AC733" s="939">
        <v>1.96</v>
      </c>
      <c r="AD733" s="826" t="s">
        <v>483</v>
      </c>
      <c r="AE733" s="826">
        <v>0</v>
      </c>
      <c r="AF733" s="804">
        <v>11024</v>
      </c>
    </row>
    <row r="734" spans="1:32" ht="28.5">
      <c r="A734" s="1003">
        <v>11026</v>
      </c>
      <c r="B734" s="1005"/>
      <c r="C734" s="1005" t="s">
        <v>826</v>
      </c>
      <c r="D734" s="1196" t="s">
        <v>347</v>
      </c>
      <c r="E734" s="1078">
        <v>7200</v>
      </c>
      <c r="F734" s="1151">
        <v>4.1</v>
      </c>
      <c r="G734" s="1197"/>
      <c r="H734" s="1154">
        <v>3.5</v>
      </c>
      <c r="I734" s="1154">
        <v>5.1</v>
      </c>
      <c r="J734" s="1155">
        <v>200</v>
      </c>
      <c r="K734" s="1083" t="s">
        <v>347</v>
      </c>
      <c r="L734" s="1257">
        <v>15</v>
      </c>
      <c r="M734" s="1258">
        <v>6000</v>
      </c>
      <c r="N734" s="1267">
        <v>0.25</v>
      </c>
      <c r="O734" s="1271">
        <v>0.75</v>
      </c>
      <c r="P734" s="1272">
        <v>11</v>
      </c>
      <c r="Q734" s="609">
        <v>0.03333</v>
      </c>
      <c r="R734" s="610">
        <v>7308</v>
      </c>
      <c r="S734" s="610">
        <v>560</v>
      </c>
      <c r="T734" s="1282">
        <v>566.4</v>
      </c>
      <c r="U734" s="633">
        <v>20.09</v>
      </c>
      <c r="V734" s="1154">
        <v>0.8999999999999999</v>
      </c>
      <c r="W734" s="1154"/>
      <c r="X734" s="633">
        <v>0.93324</v>
      </c>
      <c r="Y734" s="823">
        <v>0.8999999999999999</v>
      </c>
      <c r="Z734" s="831">
        <v>4.1052</v>
      </c>
      <c r="AA734" s="866"/>
      <c r="AB734" s="826"/>
      <c r="AC734" s="939">
        <v>14.4</v>
      </c>
      <c r="AD734" s="826" t="s">
        <v>483</v>
      </c>
      <c r="AE734" s="826">
        <v>0</v>
      </c>
      <c r="AF734" s="804">
        <v>11026</v>
      </c>
    </row>
    <row r="735" spans="1:32" ht="28.5">
      <c r="A735" s="154">
        <v>11027</v>
      </c>
      <c r="B735" s="992"/>
      <c r="C735" s="992" t="s">
        <v>1041</v>
      </c>
      <c r="D735" s="524">
        <v>10</v>
      </c>
      <c r="E735" s="504">
        <v>12000</v>
      </c>
      <c r="F735" s="509">
        <v>56</v>
      </c>
      <c r="G735" s="1084">
        <v>5.6</v>
      </c>
      <c r="H735" s="539"/>
      <c r="I735" s="518">
        <v>6.5</v>
      </c>
      <c r="J735" s="768">
        <v>500</v>
      </c>
      <c r="K735" s="145" t="s">
        <v>347</v>
      </c>
      <c r="L735" s="492">
        <v>12</v>
      </c>
      <c r="M735" s="769">
        <v>6000</v>
      </c>
      <c r="N735" s="500">
        <v>0</v>
      </c>
      <c r="O735" s="788">
        <v>1.25</v>
      </c>
      <c r="P735" s="492">
        <v>13</v>
      </c>
      <c r="Q735" s="507">
        <v>0.03333</v>
      </c>
      <c r="R735" s="201">
        <v>7569</v>
      </c>
      <c r="S735" s="201">
        <v>595</v>
      </c>
      <c r="T735" s="1277">
        <v>1282</v>
      </c>
      <c r="U735" s="520">
        <v>20.845</v>
      </c>
      <c r="V735" s="518">
        <v>2.5</v>
      </c>
      <c r="W735" s="506"/>
      <c r="X735" s="520">
        <v>0.93324</v>
      </c>
      <c r="Y735" s="862">
        <v>2.5</v>
      </c>
      <c r="Z735" s="828">
        <v>55.704</v>
      </c>
      <c r="AA735" s="867">
        <v>5.5704</v>
      </c>
      <c r="AB735" s="830"/>
      <c r="AC735" s="940">
        <v>24</v>
      </c>
      <c r="AD735" s="830" t="s">
        <v>899</v>
      </c>
      <c r="AE735" s="830">
        <v>0</v>
      </c>
      <c r="AF735" s="803">
        <v>11027</v>
      </c>
    </row>
    <row r="736" spans="1:32" ht="14.25">
      <c r="A736" s="1003">
        <v>11033</v>
      </c>
      <c r="B736" s="1005"/>
      <c r="C736" s="1005" t="s">
        <v>1042</v>
      </c>
      <c r="D736" s="1150">
        <v>10</v>
      </c>
      <c r="E736" s="1078">
        <v>3000</v>
      </c>
      <c r="F736" s="1186">
        <v>53</v>
      </c>
      <c r="G736" s="1080">
        <v>5.3</v>
      </c>
      <c r="H736" s="1198"/>
      <c r="I736" s="1081">
        <v>6.6</v>
      </c>
      <c r="J736" s="1082">
        <v>130</v>
      </c>
      <c r="K736" s="1083" t="s">
        <v>347</v>
      </c>
      <c r="L736" s="1257">
        <v>12</v>
      </c>
      <c r="M736" s="1085">
        <v>2500</v>
      </c>
      <c r="N736" s="1267">
        <v>0.1</v>
      </c>
      <c r="O736" s="1271">
        <v>1.2</v>
      </c>
      <c r="P736" s="1272">
        <v>27</v>
      </c>
      <c r="Q736" s="609">
        <v>0.02</v>
      </c>
      <c r="R736" s="610">
        <v>20746.2</v>
      </c>
      <c r="S736" s="610">
        <v>686</v>
      </c>
      <c r="T736" s="1282">
        <v>441</v>
      </c>
      <c r="U736" s="633">
        <v>15.970142857142857</v>
      </c>
      <c r="V736" s="1081">
        <v>1.44</v>
      </c>
      <c r="W736" s="1154"/>
      <c r="X736" s="633">
        <v>0.56</v>
      </c>
      <c r="Y736" s="863">
        <v>1.44</v>
      </c>
      <c r="Z736" s="831">
        <v>53.15538461538462</v>
      </c>
      <c r="AA736" s="868">
        <v>5.315538461538462</v>
      </c>
      <c r="AB736" s="826"/>
      <c r="AC736" s="939">
        <v>6</v>
      </c>
      <c r="AD736" s="826" t="s">
        <v>899</v>
      </c>
      <c r="AE736" s="826">
        <v>0</v>
      </c>
      <c r="AF736" s="804">
        <v>11033</v>
      </c>
    </row>
    <row r="737" spans="1:32" ht="14.25">
      <c r="A737" s="154">
        <v>11028</v>
      </c>
      <c r="B737" s="992"/>
      <c r="C737" s="992" t="s">
        <v>827</v>
      </c>
      <c r="D737" s="1199">
        <v>120</v>
      </c>
      <c r="E737" s="504">
        <v>3100</v>
      </c>
      <c r="F737" s="509">
        <v>18</v>
      </c>
      <c r="G737" s="1200">
        <v>0.15</v>
      </c>
      <c r="H737" s="1201">
        <v>0.1</v>
      </c>
      <c r="I737" s="1201">
        <v>0.15</v>
      </c>
      <c r="J737" s="1202">
        <v>4000</v>
      </c>
      <c r="K737" s="145" t="s">
        <v>347</v>
      </c>
      <c r="L737" s="492">
        <v>15</v>
      </c>
      <c r="M737" s="1202">
        <v>100000</v>
      </c>
      <c r="N737" s="500">
        <v>0.1</v>
      </c>
      <c r="O737" s="788">
        <v>1.9</v>
      </c>
      <c r="P737" s="492">
        <v>1</v>
      </c>
      <c r="Q737" s="507">
        <v>0.0143</v>
      </c>
      <c r="R737" s="201">
        <v>1218</v>
      </c>
      <c r="S737" s="201">
        <v>140</v>
      </c>
      <c r="T737" s="1277">
        <v>247.79999999999998</v>
      </c>
      <c r="U737" s="526">
        <v>1.98</v>
      </c>
      <c r="V737" s="1201">
        <v>0.058899999999999994</v>
      </c>
      <c r="W737" s="1201"/>
      <c r="X737" s="526">
        <v>0.4004</v>
      </c>
      <c r="Y737" s="908">
        <v>0.058899999999999994</v>
      </c>
      <c r="Z737" s="828">
        <v>15.9522</v>
      </c>
      <c r="AA737" s="909">
        <v>0.132935</v>
      </c>
      <c r="AB737" s="830"/>
      <c r="AC737" s="940">
        <v>6.2</v>
      </c>
      <c r="AD737" s="830" t="s">
        <v>488</v>
      </c>
      <c r="AE737" s="830">
        <v>0</v>
      </c>
      <c r="AF737" s="803">
        <v>11028</v>
      </c>
    </row>
    <row r="738" spans="1:32" ht="14.25">
      <c r="A738" s="1003">
        <v>11029</v>
      </c>
      <c r="B738" s="1005"/>
      <c r="C738" s="1005" t="s">
        <v>828</v>
      </c>
      <c r="D738" s="1196" t="s">
        <v>347</v>
      </c>
      <c r="E738" s="1078">
        <v>1500</v>
      </c>
      <c r="F738" s="1151">
        <v>11.5</v>
      </c>
      <c r="G738" s="1197"/>
      <c r="H738" s="1154"/>
      <c r="I738" s="1154"/>
      <c r="J738" s="1155">
        <v>25</v>
      </c>
      <c r="K738" s="1083" t="s">
        <v>347</v>
      </c>
      <c r="L738" s="1257">
        <v>12</v>
      </c>
      <c r="M738" s="1258">
        <v>1500</v>
      </c>
      <c r="N738" s="1267">
        <v>0.25</v>
      </c>
      <c r="O738" s="1271">
        <v>4.3</v>
      </c>
      <c r="P738" s="1272">
        <v>5</v>
      </c>
      <c r="Q738" s="609">
        <v>0.0143</v>
      </c>
      <c r="R738" s="610">
        <v>1131</v>
      </c>
      <c r="S738" s="610">
        <v>84</v>
      </c>
      <c r="T738" s="1282">
        <v>153</v>
      </c>
      <c r="U738" s="638">
        <v>1.772857142857143</v>
      </c>
      <c r="V738" s="1154">
        <v>4.3</v>
      </c>
      <c r="W738" s="1154"/>
      <c r="X738" s="638">
        <v>0.4004</v>
      </c>
      <c r="Y738" s="823">
        <v>4.3</v>
      </c>
      <c r="Z738" s="831">
        <v>11.462000000000002</v>
      </c>
      <c r="AA738" s="866"/>
      <c r="AB738" s="826"/>
      <c r="AC738" s="939">
        <v>3</v>
      </c>
      <c r="AD738" s="826" t="s">
        <v>483</v>
      </c>
      <c r="AE738" s="826">
        <v>0</v>
      </c>
      <c r="AF738" s="804">
        <v>11029</v>
      </c>
    </row>
    <row r="739" spans="1:32" ht="14.25">
      <c r="A739" s="154">
        <v>11030</v>
      </c>
      <c r="B739" s="992"/>
      <c r="C739" s="992" t="s">
        <v>1043</v>
      </c>
      <c r="D739" s="510" t="s">
        <v>347</v>
      </c>
      <c r="E739" s="504">
        <v>10600</v>
      </c>
      <c r="F739" s="509"/>
      <c r="G739" s="1203">
        <v>5.7</v>
      </c>
      <c r="H739" s="1204">
        <v>4.8</v>
      </c>
      <c r="I739" s="1204">
        <v>7.1</v>
      </c>
      <c r="J739" s="777">
        <v>250</v>
      </c>
      <c r="K739" s="145" t="s">
        <v>347</v>
      </c>
      <c r="L739" s="492">
        <v>12</v>
      </c>
      <c r="M739" s="777">
        <v>7000</v>
      </c>
      <c r="N739" s="500">
        <v>0.25</v>
      </c>
      <c r="O739" s="788">
        <v>0.85</v>
      </c>
      <c r="P739" s="492">
        <v>16</v>
      </c>
      <c r="Q739" s="538">
        <v>0.01</v>
      </c>
      <c r="R739" s="201">
        <v>1655.8</v>
      </c>
      <c r="S739" s="201">
        <v>105</v>
      </c>
      <c r="T739" s="1277">
        <v>965.2</v>
      </c>
      <c r="U739" s="526">
        <v>1.7948</v>
      </c>
      <c r="V739" s="1204">
        <v>1.2871428571428571</v>
      </c>
      <c r="W739" s="1204"/>
      <c r="X739" s="526">
        <v>0.28</v>
      </c>
      <c r="Y739" s="910">
        <v>1.2871428571428571</v>
      </c>
      <c r="Z739" s="828"/>
      <c r="AA739" s="911">
        <v>5.662737142857144</v>
      </c>
      <c r="AB739" s="830"/>
      <c r="AC739" s="940">
        <v>21.2</v>
      </c>
      <c r="AD739" s="830" t="s">
        <v>487</v>
      </c>
      <c r="AE739" s="830">
        <v>0</v>
      </c>
      <c r="AF739" s="803">
        <v>11030</v>
      </c>
    </row>
    <row r="740" spans="1:32" ht="14.25">
      <c r="A740" s="1003">
        <v>11031</v>
      </c>
      <c r="B740" s="1005"/>
      <c r="C740" s="1005" t="s">
        <v>1362</v>
      </c>
      <c r="D740" s="1196"/>
      <c r="E740" s="1078">
        <v>4900</v>
      </c>
      <c r="F740" s="1186"/>
      <c r="G740" s="1205">
        <v>1.2</v>
      </c>
      <c r="H740" s="1206">
        <v>1.1</v>
      </c>
      <c r="I740" s="1206">
        <v>1.6</v>
      </c>
      <c r="J740" s="1207">
        <v>500</v>
      </c>
      <c r="K740" s="1083" t="s">
        <v>347</v>
      </c>
      <c r="L740" s="1257">
        <v>15</v>
      </c>
      <c r="M740" s="1207">
        <v>20000</v>
      </c>
      <c r="N740" s="1267">
        <v>0.25</v>
      </c>
      <c r="O740" s="1271">
        <v>1.05</v>
      </c>
      <c r="P740" s="1272">
        <v>16</v>
      </c>
      <c r="Q740" s="609">
        <v>0.05</v>
      </c>
      <c r="R740" s="610">
        <v>330.6</v>
      </c>
      <c r="S740" s="610">
        <v>168</v>
      </c>
      <c r="T740" s="1282">
        <v>436.55</v>
      </c>
      <c r="U740" s="608">
        <v>10.124</v>
      </c>
      <c r="V740" s="1206">
        <v>0.25725</v>
      </c>
      <c r="W740" s="1206"/>
      <c r="X740" s="608">
        <v>1.4000000000000001</v>
      </c>
      <c r="Y740" s="912">
        <v>0.25725</v>
      </c>
      <c r="Z740" s="831"/>
      <c r="AA740" s="913">
        <v>1.243385</v>
      </c>
      <c r="AB740" s="826"/>
      <c r="AC740" s="939">
        <v>9.8</v>
      </c>
      <c r="AD740" s="826" t="s">
        <v>487</v>
      </c>
      <c r="AE740" s="826">
        <v>0</v>
      </c>
      <c r="AF740" s="804">
        <v>11031</v>
      </c>
    </row>
    <row r="741" spans="1:32" ht="14.25">
      <c r="A741" s="154">
        <v>11034</v>
      </c>
      <c r="B741" s="992"/>
      <c r="C741" s="992" t="s">
        <v>1363</v>
      </c>
      <c r="D741" s="510"/>
      <c r="E741" s="504">
        <v>10900</v>
      </c>
      <c r="F741" s="509"/>
      <c r="G741" s="1203">
        <v>1.9</v>
      </c>
      <c r="H741" s="1204">
        <v>1.6</v>
      </c>
      <c r="I741" s="1204">
        <v>2.4</v>
      </c>
      <c r="J741" s="777">
        <v>800</v>
      </c>
      <c r="K741" s="145" t="s">
        <v>347</v>
      </c>
      <c r="L741" s="492">
        <v>15</v>
      </c>
      <c r="M741" s="777">
        <v>30000</v>
      </c>
      <c r="N741" s="500">
        <v>0.25</v>
      </c>
      <c r="O741" s="788">
        <v>0.85</v>
      </c>
      <c r="P741" s="492">
        <v>65</v>
      </c>
      <c r="Q741" s="507">
        <v>0.02</v>
      </c>
      <c r="R741" s="201">
        <v>957</v>
      </c>
      <c r="S741" s="201">
        <v>140</v>
      </c>
      <c r="T741" s="1277">
        <v>1147.55</v>
      </c>
      <c r="U741" s="506">
        <v>22.38</v>
      </c>
      <c r="V741" s="1204">
        <v>0.30883333333333335</v>
      </c>
      <c r="W741" s="1204"/>
      <c r="X741" s="506">
        <v>0.56</v>
      </c>
      <c r="Y741" s="910">
        <v>0.30883333333333335</v>
      </c>
      <c r="Z741" s="828"/>
      <c r="AA741" s="911">
        <v>1.9175979166666668</v>
      </c>
      <c r="AB741" s="830"/>
      <c r="AC741" s="940">
        <v>21.8</v>
      </c>
      <c r="AD741" s="830" t="s">
        <v>487</v>
      </c>
      <c r="AE741" s="830">
        <v>0</v>
      </c>
      <c r="AF741" s="803">
        <v>11034</v>
      </c>
    </row>
    <row r="742" spans="1:32" ht="14.25">
      <c r="A742" s="1003">
        <v>11032</v>
      </c>
      <c r="B742" s="1005"/>
      <c r="C742" s="1005" t="s">
        <v>829</v>
      </c>
      <c r="D742" s="1196"/>
      <c r="E742" s="1078">
        <v>2800</v>
      </c>
      <c r="F742" s="1186"/>
      <c r="G742" s="1205">
        <v>1.1</v>
      </c>
      <c r="H742" s="1206">
        <v>1</v>
      </c>
      <c r="I742" s="1206">
        <v>1.3</v>
      </c>
      <c r="J742" s="1207">
        <v>500</v>
      </c>
      <c r="K742" s="1083" t="s">
        <v>347</v>
      </c>
      <c r="L742" s="1257">
        <v>12</v>
      </c>
      <c r="M742" s="1207">
        <v>10000</v>
      </c>
      <c r="N742" s="1267">
        <v>0.1</v>
      </c>
      <c r="O742" s="1271">
        <v>1.5</v>
      </c>
      <c r="P742" s="1272">
        <v>4</v>
      </c>
      <c r="Q742" s="609">
        <v>0.02</v>
      </c>
      <c r="R742" s="610">
        <v>765.6</v>
      </c>
      <c r="S742" s="610">
        <v>154</v>
      </c>
      <c r="T742" s="1282">
        <v>284.4</v>
      </c>
      <c r="U742" s="608">
        <v>18.744</v>
      </c>
      <c r="V742" s="1206">
        <v>0.42000000000000004</v>
      </c>
      <c r="W742" s="1206"/>
      <c r="X742" s="608">
        <v>0.56</v>
      </c>
      <c r="Y742" s="912">
        <v>0.42000000000000004</v>
      </c>
      <c r="Z742" s="831"/>
      <c r="AA742" s="913">
        <v>1.0876800000000002</v>
      </c>
      <c r="AB742" s="826"/>
      <c r="AC742" s="939">
        <v>5.6000000000000005</v>
      </c>
      <c r="AD742" s="826" t="s">
        <v>487</v>
      </c>
      <c r="AE742" s="826">
        <v>0</v>
      </c>
      <c r="AF742" s="804">
        <v>11032</v>
      </c>
    </row>
    <row r="743" spans="1:32" ht="14.25">
      <c r="A743" s="496"/>
      <c r="B743" s="761"/>
      <c r="C743" s="496"/>
      <c r="D743" s="510"/>
      <c r="E743" s="504"/>
      <c r="F743" s="509"/>
      <c r="G743" s="1208"/>
      <c r="H743" s="540"/>
      <c r="I743" s="540"/>
      <c r="J743" s="778"/>
      <c r="K743" s="495"/>
      <c r="L743" s="496"/>
      <c r="M743" s="778"/>
      <c r="N743" s="500" t="s">
        <v>413</v>
      </c>
      <c r="O743" s="788" t="s">
        <v>413</v>
      </c>
      <c r="P743" s="810"/>
      <c r="Q743" s="492"/>
      <c r="R743" s="201" t="s">
        <v>413</v>
      </c>
      <c r="T743" s="1277" t="s">
        <v>413</v>
      </c>
      <c r="U743" s="494"/>
      <c r="V743" s="540"/>
      <c r="W743" s="506"/>
      <c r="X743" s="494"/>
      <c r="Y743" s="823" t="s">
        <v>413</v>
      </c>
      <c r="Z743" s="831"/>
      <c r="AA743" s="913"/>
      <c r="AB743" s="802"/>
      <c r="AC743" s="939" t="s">
        <v>413</v>
      </c>
      <c r="AD743" s="826" t="s">
        <v>413</v>
      </c>
      <c r="AE743" s="826"/>
      <c r="AF743" s="802"/>
    </row>
    <row r="744" spans="1:32" ht="14.25">
      <c r="A744" s="997"/>
      <c r="B744" s="998"/>
      <c r="C744" s="999" t="s">
        <v>830</v>
      </c>
      <c r="D744" s="1106"/>
      <c r="E744" s="1058"/>
      <c r="F744" s="1059"/>
      <c r="G744" s="1190"/>
      <c r="H744" s="1061"/>
      <c r="I744" s="1061"/>
      <c r="J744" s="1062"/>
      <c r="K744" s="1063"/>
      <c r="L744" s="1253"/>
      <c r="M744" s="1062"/>
      <c r="N744" s="1265" t="s">
        <v>413</v>
      </c>
      <c r="O744" s="817" t="s">
        <v>413</v>
      </c>
      <c r="P744" s="813"/>
      <c r="Q744" s="626"/>
      <c r="R744" s="627" t="s">
        <v>413</v>
      </c>
      <c r="S744" s="627"/>
      <c r="T744" s="1280" t="s">
        <v>413</v>
      </c>
      <c r="U744" s="637"/>
      <c r="V744" s="1108"/>
      <c r="W744" s="1061"/>
      <c r="X744" s="625"/>
      <c r="Y744" s="856" t="s">
        <v>413</v>
      </c>
      <c r="Z744" s="857"/>
      <c r="AA744" s="904"/>
      <c r="AB744" s="859"/>
      <c r="AC744" s="942" t="s">
        <v>413</v>
      </c>
      <c r="AD744" s="859" t="s">
        <v>413</v>
      </c>
      <c r="AE744" s="859"/>
      <c r="AF744" s="805"/>
    </row>
    <row r="745" spans="1:32" ht="14.25">
      <c r="A745" s="496"/>
      <c r="B745" s="761"/>
      <c r="C745" s="496"/>
      <c r="D745" s="510"/>
      <c r="E745" s="504"/>
      <c r="F745" s="509"/>
      <c r="G745" s="1053"/>
      <c r="H745" s="506"/>
      <c r="I745" s="506"/>
      <c r="J745" s="764"/>
      <c r="K745" s="495"/>
      <c r="L745" s="496"/>
      <c r="M745" s="764"/>
      <c r="N745" s="500" t="s">
        <v>413</v>
      </c>
      <c r="O745" s="788" t="s">
        <v>413</v>
      </c>
      <c r="P745" s="810"/>
      <c r="Q745" s="495"/>
      <c r="R745" s="201" t="s">
        <v>413</v>
      </c>
      <c r="S745" s="201"/>
      <c r="T745" s="1277" t="s">
        <v>413</v>
      </c>
      <c r="U745" s="526"/>
      <c r="V745" s="511"/>
      <c r="W745" s="506"/>
      <c r="X745" s="526"/>
      <c r="Y745" s="823" t="s">
        <v>413</v>
      </c>
      <c r="Z745" s="831"/>
      <c r="AA745" s="866"/>
      <c r="AB745" s="802"/>
      <c r="AC745" s="939" t="s">
        <v>413</v>
      </c>
      <c r="AD745" s="826" t="s">
        <v>413</v>
      </c>
      <c r="AE745" s="826"/>
      <c r="AF745" s="802"/>
    </row>
    <row r="746" spans="1:32" ht="14.25">
      <c r="A746" s="987">
        <v>12000</v>
      </c>
      <c r="B746" s="988" t="s">
        <v>1501</v>
      </c>
      <c r="C746" s="1020" t="s">
        <v>831</v>
      </c>
      <c r="D746" s="1036"/>
      <c r="E746" s="1022"/>
      <c r="F746" s="1023"/>
      <c r="G746" s="1024"/>
      <c r="H746" s="1025"/>
      <c r="I746" s="1025"/>
      <c r="J746" s="1026"/>
      <c r="K746" s="1026"/>
      <c r="L746" s="1021"/>
      <c r="M746" s="1026"/>
      <c r="N746" s="1263" t="s">
        <v>413</v>
      </c>
      <c r="O746" s="816" t="s">
        <v>413</v>
      </c>
      <c r="P746" s="809"/>
      <c r="Q746" s="603"/>
      <c r="R746" s="605" t="s">
        <v>413</v>
      </c>
      <c r="S746" s="606"/>
      <c r="T746" s="1276" t="s">
        <v>413</v>
      </c>
      <c r="U746" s="604"/>
      <c r="V746" s="1025"/>
      <c r="W746" s="1025"/>
      <c r="X746" s="604"/>
      <c r="Y746" s="833" t="s">
        <v>413</v>
      </c>
      <c r="Z746" s="820"/>
      <c r="AA746" s="821"/>
      <c r="AB746" s="822"/>
      <c r="AC746" s="938" t="s">
        <v>413</v>
      </c>
      <c r="AD746" s="822" t="s">
        <v>413</v>
      </c>
      <c r="AE746" s="822"/>
      <c r="AF746" s="801">
        <v>12000</v>
      </c>
    </row>
    <row r="747" spans="1:32" ht="14.25">
      <c r="A747" s="496"/>
      <c r="B747" s="761"/>
      <c r="C747" s="496"/>
      <c r="D747" s="499"/>
      <c r="E747" s="504"/>
      <c r="F747" s="496"/>
      <c r="G747" s="495"/>
      <c r="H747" s="495"/>
      <c r="I747" s="495"/>
      <c r="J747" s="499"/>
      <c r="K747" s="495"/>
      <c r="L747" s="496"/>
      <c r="M747" s="499"/>
      <c r="N747" s="500" t="s">
        <v>413</v>
      </c>
      <c r="O747" s="788" t="s">
        <v>413</v>
      </c>
      <c r="P747" s="810"/>
      <c r="Q747" s="495"/>
      <c r="R747" s="201" t="s">
        <v>413</v>
      </c>
      <c r="S747" s="201"/>
      <c r="T747" s="1277" t="s">
        <v>413</v>
      </c>
      <c r="U747" s="526"/>
      <c r="V747" s="496"/>
      <c r="W747" s="496"/>
      <c r="X747" s="526"/>
      <c r="Y747" s="823" t="s">
        <v>413</v>
      </c>
      <c r="Z747" s="802"/>
      <c r="AA747" s="802"/>
      <c r="AB747" s="802"/>
      <c r="AC747" s="939" t="s">
        <v>413</v>
      </c>
      <c r="AD747" s="826" t="s">
        <v>413</v>
      </c>
      <c r="AE747" s="802"/>
      <c r="AF747" s="802"/>
    </row>
    <row r="748" spans="1:32" ht="14.25">
      <c r="A748" s="990">
        <v>12001</v>
      </c>
      <c r="B748" s="991"/>
      <c r="C748" s="991" t="s">
        <v>832</v>
      </c>
      <c r="D748" s="1040" t="s">
        <v>347</v>
      </c>
      <c r="E748" s="1028">
        <v>2500</v>
      </c>
      <c r="F748" s="1049">
        <v>8.7</v>
      </c>
      <c r="G748" s="1052"/>
      <c r="H748" s="613">
        <v>7.8</v>
      </c>
      <c r="I748" s="613">
        <v>10.3</v>
      </c>
      <c r="J748" s="1031">
        <v>50</v>
      </c>
      <c r="K748" s="1032" t="s">
        <v>347</v>
      </c>
      <c r="L748" s="1251">
        <v>15</v>
      </c>
      <c r="M748" s="1232">
        <v>3000</v>
      </c>
      <c r="N748" s="1264">
        <v>0.25</v>
      </c>
      <c r="O748" s="815">
        <v>4.35</v>
      </c>
      <c r="P748" s="812">
        <v>7</v>
      </c>
      <c r="Q748" s="609">
        <v>0.05</v>
      </c>
      <c r="R748" s="610">
        <v>525.96</v>
      </c>
      <c r="S748" s="610">
        <v>49</v>
      </c>
      <c r="T748" s="1278">
        <v>215.75</v>
      </c>
      <c r="U748" s="608">
        <v>11.7152</v>
      </c>
      <c r="V748" s="613">
        <v>3.625</v>
      </c>
      <c r="W748" s="613"/>
      <c r="X748" s="608">
        <v>1.4000000000000001</v>
      </c>
      <c r="Y748" s="827">
        <v>3.625</v>
      </c>
      <c r="Z748" s="828">
        <v>8.734000000000002</v>
      </c>
      <c r="AA748" s="869"/>
      <c r="AB748" s="830"/>
      <c r="AC748" s="940">
        <v>5</v>
      </c>
      <c r="AD748" s="830" t="s">
        <v>483</v>
      </c>
      <c r="AE748" s="830">
        <v>0</v>
      </c>
      <c r="AF748" s="803">
        <v>12001</v>
      </c>
    </row>
    <row r="749" spans="1:32" ht="14.25">
      <c r="A749" s="154">
        <v>12002</v>
      </c>
      <c r="B749" s="992"/>
      <c r="C749" s="992" t="s">
        <v>833</v>
      </c>
      <c r="D749" s="510" t="s">
        <v>347</v>
      </c>
      <c r="E749" s="504">
        <v>3000</v>
      </c>
      <c r="F749" s="621">
        <v>10</v>
      </c>
      <c r="G749" s="1053"/>
      <c r="H749" s="506">
        <v>8.8</v>
      </c>
      <c r="I749" s="506">
        <v>11.9</v>
      </c>
      <c r="J749" s="764">
        <v>50</v>
      </c>
      <c r="K749" s="145" t="s">
        <v>347</v>
      </c>
      <c r="L749" s="492">
        <v>15</v>
      </c>
      <c r="M749" s="780">
        <v>3000</v>
      </c>
      <c r="N749" s="500">
        <v>0.25</v>
      </c>
      <c r="O749" s="788">
        <v>3.8</v>
      </c>
      <c r="P749" s="492">
        <v>9</v>
      </c>
      <c r="Q749" s="507">
        <v>0.05</v>
      </c>
      <c r="R749" s="201">
        <v>808.42</v>
      </c>
      <c r="S749" s="201">
        <v>56</v>
      </c>
      <c r="T749" s="1277">
        <v>262.5</v>
      </c>
      <c r="U749" s="506">
        <v>17.6204</v>
      </c>
      <c r="V749" s="506">
        <v>3.8</v>
      </c>
      <c r="W749" s="506"/>
      <c r="X749" s="506">
        <v>1.4000000000000001</v>
      </c>
      <c r="Y749" s="823">
        <v>3.8</v>
      </c>
      <c r="Z749" s="831">
        <v>9.955000000000002</v>
      </c>
      <c r="AA749" s="866"/>
      <c r="AB749" s="826"/>
      <c r="AC749" s="939">
        <v>6</v>
      </c>
      <c r="AD749" s="826" t="s">
        <v>483</v>
      </c>
      <c r="AE749" s="826">
        <v>0</v>
      </c>
      <c r="AF749" s="804">
        <v>12002</v>
      </c>
    </row>
    <row r="750" spans="1:32" ht="14.25">
      <c r="A750" s="990">
        <v>12004</v>
      </c>
      <c r="B750" s="991"/>
      <c r="C750" s="991" t="s">
        <v>834</v>
      </c>
      <c r="D750" s="1120">
        <v>1</v>
      </c>
      <c r="E750" s="1028">
        <v>2600</v>
      </c>
      <c r="F750" s="1049">
        <v>8.2</v>
      </c>
      <c r="G750" s="1121">
        <v>8.2</v>
      </c>
      <c r="H750" s="638">
        <v>7</v>
      </c>
      <c r="I750" s="638">
        <v>10</v>
      </c>
      <c r="J750" s="1031">
        <v>50</v>
      </c>
      <c r="K750" s="1032" t="s">
        <v>347</v>
      </c>
      <c r="L750" s="1251">
        <v>12</v>
      </c>
      <c r="M750" s="1232">
        <v>3000</v>
      </c>
      <c r="N750" s="1264">
        <v>0.25</v>
      </c>
      <c r="O750" s="815">
        <v>2.6</v>
      </c>
      <c r="P750" s="812">
        <v>8</v>
      </c>
      <c r="Q750" s="609">
        <v>0.05</v>
      </c>
      <c r="R750" s="610">
        <v>594.14</v>
      </c>
      <c r="S750" s="610">
        <v>14</v>
      </c>
      <c r="T750" s="1278">
        <v>261.2</v>
      </c>
      <c r="U750" s="608">
        <v>12.4068</v>
      </c>
      <c r="V750" s="613">
        <v>2.2533333333333334</v>
      </c>
      <c r="W750" s="613"/>
      <c r="X750" s="608">
        <v>1.4000000000000001</v>
      </c>
      <c r="Y750" s="827">
        <v>2.2533333333333334</v>
      </c>
      <c r="Z750" s="828">
        <v>8.225066666666669</v>
      </c>
      <c r="AA750" s="881">
        <v>8.225066666666669</v>
      </c>
      <c r="AB750" s="830"/>
      <c r="AC750" s="940">
        <v>5.2</v>
      </c>
      <c r="AD750" s="830" t="s">
        <v>483</v>
      </c>
      <c r="AE750" s="830">
        <v>0</v>
      </c>
      <c r="AF750" s="803">
        <v>12004</v>
      </c>
    </row>
    <row r="751" spans="1:32" ht="14.25">
      <c r="A751" s="154">
        <v>12005</v>
      </c>
      <c r="B751" s="992"/>
      <c r="C751" s="992" t="s">
        <v>835</v>
      </c>
      <c r="D751" s="525">
        <v>3</v>
      </c>
      <c r="E751" s="504">
        <v>7200</v>
      </c>
      <c r="F751" s="621">
        <v>15</v>
      </c>
      <c r="G751" s="1122">
        <v>5</v>
      </c>
      <c r="H751" s="526">
        <v>4.5</v>
      </c>
      <c r="I751" s="526">
        <v>6</v>
      </c>
      <c r="J751" s="764">
        <v>80</v>
      </c>
      <c r="K751" s="145" t="s">
        <v>347</v>
      </c>
      <c r="L751" s="492">
        <v>12</v>
      </c>
      <c r="M751" s="780">
        <v>3000</v>
      </c>
      <c r="N751" s="500">
        <v>0.25</v>
      </c>
      <c r="O751" s="788">
        <v>2.15</v>
      </c>
      <c r="P751" s="492">
        <v>17</v>
      </c>
      <c r="Q751" s="507">
        <v>0.03333</v>
      </c>
      <c r="R751" s="201">
        <v>1783.5</v>
      </c>
      <c r="S751" s="201">
        <v>161</v>
      </c>
      <c r="T751" s="1277">
        <v>692.4</v>
      </c>
      <c r="U751" s="506">
        <v>39.71</v>
      </c>
      <c r="V751" s="506">
        <v>5.159999999999999</v>
      </c>
      <c r="W751" s="506"/>
      <c r="X751" s="506">
        <v>0.93324</v>
      </c>
      <c r="Y751" s="823">
        <v>5.159999999999999</v>
      </c>
      <c r="Z751" s="831">
        <v>15.196499999999999</v>
      </c>
      <c r="AA751" s="882">
        <v>5.065499999999999</v>
      </c>
      <c r="AB751" s="826"/>
      <c r="AC751" s="939">
        <v>14.4</v>
      </c>
      <c r="AD751" s="826" t="s">
        <v>483</v>
      </c>
      <c r="AE751" s="826">
        <v>0</v>
      </c>
      <c r="AF751" s="804">
        <v>12005</v>
      </c>
    </row>
    <row r="752" spans="1:32" ht="14.25">
      <c r="A752" s="990">
        <v>12006</v>
      </c>
      <c r="B752" s="991"/>
      <c r="C752" s="991" t="s">
        <v>836</v>
      </c>
      <c r="D752" s="1120">
        <v>3</v>
      </c>
      <c r="E752" s="1028">
        <v>3700</v>
      </c>
      <c r="F752" s="1049">
        <v>8.6</v>
      </c>
      <c r="G752" s="1121">
        <v>2.9</v>
      </c>
      <c r="H752" s="638">
        <v>2.5</v>
      </c>
      <c r="I752" s="638">
        <v>3.5</v>
      </c>
      <c r="J752" s="1031">
        <v>80</v>
      </c>
      <c r="K752" s="1032" t="s">
        <v>347</v>
      </c>
      <c r="L752" s="1251">
        <v>12</v>
      </c>
      <c r="M752" s="1232">
        <v>3000</v>
      </c>
      <c r="N752" s="1264">
        <v>0.25</v>
      </c>
      <c r="O752" s="815">
        <v>3.25</v>
      </c>
      <c r="P752" s="812">
        <v>0</v>
      </c>
      <c r="Q752" s="495"/>
      <c r="R752" s="201" t="s">
        <v>413</v>
      </c>
      <c r="S752" s="201"/>
      <c r="T752" s="1278">
        <v>303.4</v>
      </c>
      <c r="U752" s="526"/>
      <c r="V752" s="613">
        <v>4.008333333333334</v>
      </c>
      <c r="W752" s="613"/>
      <c r="X752" s="526"/>
      <c r="Y752" s="827">
        <v>4.008333333333334</v>
      </c>
      <c r="Z752" s="828">
        <v>8.580916666666667</v>
      </c>
      <c r="AA752" s="881">
        <v>2.8603055555555557</v>
      </c>
      <c r="AB752" s="830"/>
      <c r="AC752" s="940">
        <v>7.4</v>
      </c>
      <c r="AD752" s="830" t="s">
        <v>483</v>
      </c>
      <c r="AE752" s="830">
        <v>0</v>
      </c>
      <c r="AF752" s="803">
        <v>12006</v>
      </c>
    </row>
    <row r="753" spans="1:32" ht="14.25">
      <c r="A753" s="154">
        <v>12007</v>
      </c>
      <c r="B753" s="992"/>
      <c r="C753" s="992" t="s">
        <v>837</v>
      </c>
      <c r="D753" s="525">
        <v>4</v>
      </c>
      <c r="E753" s="504">
        <v>12000</v>
      </c>
      <c r="F753" s="621">
        <v>22</v>
      </c>
      <c r="G753" s="1122">
        <v>5.5</v>
      </c>
      <c r="H753" s="526">
        <v>4.5</v>
      </c>
      <c r="I753" s="526">
        <v>6.5</v>
      </c>
      <c r="J753" s="764">
        <v>80</v>
      </c>
      <c r="K753" s="145" t="s">
        <v>347</v>
      </c>
      <c r="L753" s="492">
        <v>12</v>
      </c>
      <c r="M753" s="780">
        <v>3000</v>
      </c>
      <c r="N753" s="500">
        <v>0.25</v>
      </c>
      <c r="O753" s="788">
        <v>1.35</v>
      </c>
      <c r="P753" s="492">
        <v>26</v>
      </c>
      <c r="Q753" s="603"/>
      <c r="R753" s="605" t="s">
        <v>413</v>
      </c>
      <c r="S753" s="606"/>
      <c r="T753" s="1277">
        <v>1140</v>
      </c>
      <c r="U753" s="604"/>
      <c r="V753" s="506">
        <v>5.4</v>
      </c>
      <c r="W753" s="506"/>
      <c r="X753" s="604"/>
      <c r="Y753" s="823">
        <v>5.4</v>
      </c>
      <c r="Z753" s="831">
        <v>21.615</v>
      </c>
      <c r="AA753" s="882">
        <v>5.40375</v>
      </c>
      <c r="AB753" s="826"/>
      <c r="AC753" s="939">
        <v>24</v>
      </c>
      <c r="AD753" s="826" t="s">
        <v>483</v>
      </c>
      <c r="AE753" s="826">
        <v>0</v>
      </c>
      <c r="AF753" s="804">
        <v>12007</v>
      </c>
    </row>
    <row r="754" spans="1:32" ht="28.5">
      <c r="A754" s="990">
        <v>12008</v>
      </c>
      <c r="B754" s="991"/>
      <c r="C754" s="991" t="s">
        <v>1044</v>
      </c>
      <c r="D754" s="1120">
        <v>4</v>
      </c>
      <c r="E754" s="1028">
        <v>16000</v>
      </c>
      <c r="F754" s="1049">
        <v>30</v>
      </c>
      <c r="G754" s="1121">
        <v>7.5</v>
      </c>
      <c r="H754" s="638">
        <v>6.5</v>
      </c>
      <c r="I754" s="638">
        <v>9.5</v>
      </c>
      <c r="J754" s="1031">
        <v>80</v>
      </c>
      <c r="K754" s="1032">
        <v>50</v>
      </c>
      <c r="L754" s="1251">
        <v>12</v>
      </c>
      <c r="M754" s="1232">
        <v>3000</v>
      </c>
      <c r="N754" s="1264">
        <v>0.25</v>
      </c>
      <c r="O754" s="815">
        <v>1.05</v>
      </c>
      <c r="P754" s="812">
        <v>26</v>
      </c>
      <c r="Q754" s="495"/>
      <c r="R754" s="201" t="s">
        <v>413</v>
      </c>
      <c r="S754" s="201"/>
      <c r="T754" s="1278">
        <v>1468</v>
      </c>
      <c r="U754" s="526"/>
      <c r="V754" s="613">
        <v>5.6</v>
      </c>
      <c r="W754" s="613">
        <v>3.625</v>
      </c>
      <c r="X754" s="526"/>
      <c r="Y754" s="827">
        <v>9.225</v>
      </c>
      <c r="Z754" s="828">
        <v>30.332500000000007</v>
      </c>
      <c r="AA754" s="881">
        <v>7.583125000000002</v>
      </c>
      <c r="AB754" s="847">
        <v>10</v>
      </c>
      <c r="AC754" s="940">
        <v>32</v>
      </c>
      <c r="AD754" s="830" t="s">
        <v>483</v>
      </c>
      <c r="AE754" s="830">
        <v>2</v>
      </c>
      <c r="AF754" s="803">
        <v>12008</v>
      </c>
    </row>
    <row r="755" spans="1:32" ht="14.25">
      <c r="A755" s="154">
        <v>12009</v>
      </c>
      <c r="B755" s="992" t="s">
        <v>1501</v>
      </c>
      <c r="C755" s="992" t="s">
        <v>838</v>
      </c>
      <c r="D755" s="525"/>
      <c r="E755" s="504">
        <v>3900</v>
      </c>
      <c r="F755" s="509"/>
      <c r="G755" s="1125">
        <v>4.8</v>
      </c>
      <c r="H755" s="526"/>
      <c r="I755" s="526">
        <v>5.1</v>
      </c>
      <c r="J755" s="771">
        <v>400</v>
      </c>
      <c r="K755" s="145" t="s">
        <v>347</v>
      </c>
      <c r="L755" s="492">
        <v>12</v>
      </c>
      <c r="M755" s="784">
        <v>7000</v>
      </c>
      <c r="N755" s="500">
        <v>0.1</v>
      </c>
      <c r="O755" s="788">
        <v>2</v>
      </c>
      <c r="P755" s="492">
        <v>10</v>
      </c>
      <c r="Q755" s="609">
        <v>0.05</v>
      </c>
      <c r="R755" s="610">
        <v>678.6</v>
      </c>
      <c r="S755" s="610">
        <v>133</v>
      </c>
      <c r="T755" s="1277">
        <v>422.7</v>
      </c>
      <c r="U755" s="608">
        <v>16.544</v>
      </c>
      <c r="V755" s="526">
        <v>1.1142857142857143</v>
      </c>
      <c r="W755" s="526">
        <v>2.15</v>
      </c>
      <c r="X755" s="608">
        <v>1.4000000000000001</v>
      </c>
      <c r="Y755" s="884">
        <v>3.2642857142857142</v>
      </c>
      <c r="Z755" s="831"/>
      <c r="AA755" s="882">
        <v>4.753139285714286</v>
      </c>
      <c r="AB755" s="826"/>
      <c r="AC755" s="939">
        <v>7.8</v>
      </c>
      <c r="AD755" s="826" t="s">
        <v>176</v>
      </c>
      <c r="AE755" s="826">
        <v>0</v>
      </c>
      <c r="AF755" s="804">
        <v>12009</v>
      </c>
    </row>
    <row r="756" spans="1:32" ht="14.25">
      <c r="A756" s="990">
        <v>12010</v>
      </c>
      <c r="B756" s="991"/>
      <c r="C756" s="991" t="s">
        <v>839</v>
      </c>
      <c r="D756" s="1120">
        <v>3</v>
      </c>
      <c r="E756" s="1028">
        <v>20000</v>
      </c>
      <c r="F756" s="1049">
        <v>24</v>
      </c>
      <c r="G756" s="1121">
        <v>8</v>
      </c>
      <c r="H756" s="638">
        <v>7</v>
      </c>
      <c r="I756" s="638">
        <v>9.5</v>
      </c>
      <c r="J756" s="1031">
        <v>120</v>
      </c>
      <c r="K756" s="1032" t="s">
        <v>347</v>
      </c>
      <c r="L756" s="1251">
        <v>12</v>
      </c>
      <c r="M756" s="1232">
        <v>3000</v>
      </c>
      <c r="N756" s="1264">
        <v>0.25</v>
      </c>
      <c r="O756" s="815">
        <v>1.05</v>
      </c>
      <c r="P756" s="812">
        <v>18</v>
      </c>
      <c r="Q756" s="507">
        <v>0.067</v>
      </c>
      <c r="R756" s="201">
        <v>234.9</v>
      </c>
      <c r="S756" s="201">
        <v>42</v>
      </c>
      <c r="T756" s="1278">
        <v>1748</v>
      </c>
      <c r="U756" s="506">
        <v>5.645999999999999</v>
      </c>
      <c r="V756" s="613">
        <v>7.000000000000001</v>
      </c>
      <c r="W756" s="613"/>
      <c r="X756" s="506">
        <v>1.8760000000000001</v>
      </c>
      <c r="Y756" s="827">
        <v>7.000000000000001</v>
      </c>
      <c r="Z756" s="828">
        <v>23.723333333333336</v>
      </c>
      <c r="AA756" s="881">
        <v>7.9077777777777785</v>
      </c>
      <c r="AB756" s="830"/>
      <c r="AC756" s="940">
        <v>40</v>
      </c>
      <c r="AD756" s="830" t="s">
        <v>483</v>
      </c>
      <c r="AE756" s="830">
        <v>0</v>
      </c>
      <c r="AF756" s="803">
        <v>12010</v>
      </c>
    </row>
    <row r="757" spans="1:32" ht="14.25">
      <c r="A757" s="154">
        <v>12011</v>
      </c>
      <c r="B757" s="992"/>
      <c r="C757" s="992" t="s">
        <v>840</v>
      </c>
      <c r="D757" s="525">
        <v>3</v>
      </c>
      <c r="E757" s="504">
        <v>5000</v>
      </c>
      <c r="F757" s="621">
        <v>6.7</v>
      </c>
      <c r="G757" s="1122">
        <v>2.2</v>
      </c>
      <c r="H757" s="526">
        <v>2</v>
      </c>
      <c r="I757" s="526">
        <v>2.5</v>
      </c>
      <c r="J757" s="764">
        <v>120</v>
      </c>
      <c r="K757" s="145" t="s">
        <v>347</v>
      </c>
      <c r="L757" s="492">
        <v>12</v>
      </c>
      <c r="M757" s="780">
        <v>3000</v>
      </c>
      <c r="N757" s="500">
        <v>0.25</v>
      </c>
      <c r="O757" s="788">
        <v>1.3</v>
      </c>
      <c r="P757" s="492">
        <v>11</v>
      </c>
      <c r="Q757" s="609">
        <v>0.125</v>
      </c>
      <c r="R757" s="610">
        <v>522</v>
      </c>
      <c r="S757" s="610">
        <v>63</v>
      </c>
      <c r="T757" s="1277">
        <v>476</v>
      </c>
      <c r="U757" s="608">
        <v>9.95</v>
      </c>
      <c r="V757" s="506">
        <v>2.166666666666667</v>
      </c>
      <c r="W757" s="506"/>
      <c r="X757" s="608">
        <v>3.5</v>
      </c>
      <c r="Y757" s="823">
        <v>2.166666666666667</v>
      </c>
      <c r="Z757" s="831">
        <v>6.746666666666668</v>
      </c>
      <c r="AA757" s="882">
        <v>2.248888888888889</v>
      </c>
      <c r="AB757" s="826"/>
      <c r="AC757" s="939">
        <v>10</v>
      </c>
      <c r="AD757" s="826" t="s">
        <v>483</v>
      </c>
      <c r="AE757" s="826">
        <v>0</v>
      </c>
      <c r="AF757" s="804">
        <v>12011</v>
      </c>
    </row>
    <row r="758" spans="1:32" ht="14.25">
      <c r="A758" s="990">
        <v>12012</v>
      </c>
      <c r="B758" s="991"/>
      <c r="C758" s="991" t="s">
        <v>841</v>
      </c>
      <c r="D758" s="1040" t="s">
        <v>347</v>
      </c>
      <c r="E758" s="1028">
        <v>5800</v>
      </c>
      <c r="F758" s="1049">
        <v>17</v>
      </c>
      <c r="G758" s="1052"/>
      <c r="H758" s="613"/>
      <c r="I758" s="613"/>
      <c r="J758" s="1031">
        <v>40</v>
      </c>
      <c r="K758" s="1032" t="s">
        <v>347</v>
      </c>
      <c r="L758" s="1251">
        <v>15</v>
      </c>
      <c r="M758" s="1232">
        <v>2000</v>
      </c>
      <c r="N758" s="1264">
        <v>0.25</v>
      </c>
      <c r="O758" s="815">
        <v>1.45</v>
      </c>
      <c r="P758" s="812">
        <v>7</v>
      </c>
      <c r="Q758" s="492"/>
      <c r="R758" s="201" t="s">
        <v>413</v>
      </c>
      <c r="S758" s="201"/>
      <c r="T758" s="1278">
        <v>445.1</v>
      </c>
      <c r="U758" s="526"/>
      <c r="V758" s="613">
        <v>4.205</v>
      </c>
      <c r="W758" s="613"/>
      <c r="X758" s="526"/>
      <c r="Y758" s="827">
        <v>4.205</v>
      </c>
      <c r="Z758" s="828">
        <v>16.865750000000002</v>
      </c>
      <c r="AA758" s="869"/>
      <c r="AB758" s="830"/>
      <c r="AC758" s="940">
        <v>11.6</v>
      </c>
      <c r="AD758" s="830" t="s">
        <v>483</v>
      </c>
      <c r="AE758" s="830">
        <v>0</v>
      </c>
      <c r="AF758" s="803">
        <v>12012</v>
      </c>
    </row>
    <row r="759" spans="1:32" ht="14.25">
      <c r="A759" s="496"/>
      <c r="B759" s="761"/>
      <c r="C759" s="496"/>
      <c r="D759" s="503"/>
      <c r="E759" s="504"/>
      <c r="F759" s="509"/>
      <c r="G759" s="495"/>
      <c r="H759" s="506"/>
      <c r="I759" s="506"/>
      <c r="J759" s="764"/>
      <c r="K759" s="495"/>
      <c r="L759" s="496"/>
      <c r="M759" s="764"/>
      <c r="N759" s="500" t="s">
        <v>413</v>
      </c>
      <c r="O759" s="788" t="s">
        <v>413</v>
      </c>
      <c r="P759" s="810"/>
      <c r="Q759" s="603"/>
      <c r="R759" s="605" t="s">
        <v>413</v>
      </c>
      <c r="S759" s="606"/>
      <c r="T759" s="1277" t="s">
        <v>413</v>
      </c>
      <c r="U759" s="604"/>
      <c r="V759" s="506"/>
      <c r="W759" s="506"/>
      <c r="X759" s="604"/>
      <c r="Y759" s="823" t="s">
        <v>413</v>
      </c>
      <c r="Z759" s="831"/>
      <c r="AA759" s="850"/>
      <c r="AB759" s="802"/>
      <c r="AC759" s="939" t="s">
        <v>413</v>
      </c>
      <c r="AD759" s="826" t="s">
        <v>413</v>
      </c>
      <c r="AE759" s="826"/>
      <c r="AF759" s="802"/>
    </row>
    <row r="760" spans="1:32" ht="14.25">
      <c r="A760" s="987">
        <v>12020</v>
      </c>
      <c r="B760" s="988"/>
      <c r="C760" s="989" t="s">
        <v>842</v>
      </c>
      <c r="D760" s="1021"/>
      <c r="E760" s="1022"/>
      <c r="F760" s="1023"/>
      <c r="G760" s="1024"/>
      <c r="H760" s="1025"/>
      <c r="I760" s="1025"/>
      <c r="J760" s="1026"/>
      <c r="K760" s="1026"/>
      <c r="L760" s="1021"/>
      <c r="M760" s="1026"/>
      <c r="N760" s="1263" t="s">
        <v>413</v>
      </c>
      <c r="O760" s="816" t="s">
        <v>413</v>
      </c>
      <c r="P760" s="809"/>
      <c r="Q760" s="495"/>
      <c r="R760" s="201" t="s">
        <v>413</v>
      </c>
      <c r="S760" s="201"/>
      <c r="T760" s="1276" t="s">
        <v>413</v>
      </c>
      <c r="U760" s="526"/>
      <c r="V760" s="1025"/>
      <c r="W760" s="1025"/>
      <c r="X760" s="526"/>
      <c r="Y760" s="833" t="s">
        <v>413</v>
      </c>
      <c r="Z760" s="820"/>
      <c r="AA760" s="821"/>
      <c r="AB760" s="822"/>
      <c r="AC760" s="938" t="s">
        <v>413</v>
      </c>
      <c r="AD760" s="822" t="s">
        <v>413</v>
      </c>
      <c r="AE760" s="822"/>
      <c r="AF760" s="801">
        <v>12020</v>
      </c>
    </row>
    <row r="761" spans="1:32" ht="14.25">
      <c r="A761" s="496"/>
      <c r="B761" s="761"/>
      <c r="C761" s="496"/>
      <c r="D761" s="503"/>
      <c r="E761" s="504"/>
      <c r="F761" s="509"/>
      <c r="G761" s="495"/>
      <c r="H761" s="506"/>
      <c r="I761" s="506"/>
      <c r="J761" s="764"/>
      <c r="K761" s="495"/>
      <c r="L761" s="496"/>
      <c r="M761" s="764"/>
      <c r="N761" s="500" t="s">
        <v>413</v>
      </c>
      <c r="O761" s="788" t="s">
        <v>413</v>
      </c>
      <c r="P761" s="810"/>
      <c r="Q761" s="609">
        <v>0.02</v>
      </c>
      <c r="R761" s="610">
        <v>178.8</v>
      </c>
      <c r="S761" s="610">
        <v>7</v>
      </c>
      <c r="T761" s="1277" t="s">
        <v>413</v>
      </c>
      <c r="U761" s="608">
        <v>2.3825000000000003</v>
      </c>
      <c r="V761" s="506"/>
      <c r="W761" s="506"/>
      <c r="X761" s="608">
        <v>0.56</v>
      </c>
      <c r="Y761" s="823" t="s">
        <v>413</v>
      </c>
      <c r="Z761" s="831"/>
      <c r="AA761" s="850"/>
      <c r="AB761" s="802"/>
      <c r="AC761" s="939" t="s">
        <v>413</v>
      </c>
      <c r="AD761" s="826" t="s">
        <v>413</v>
      </c>
      <c r="AE761" s="826"/>
      <c r="AF761" s="802"/>
    </row>
    <row r="762" spans="1:32" ht="14.25">
      <c r="A762" s="154">
        <v>12022</v>
      </c>
      <c r="B762" s="992"/>
      <c r="C762" s="992" t="s">
        <v>1226</v>
      </c>
      <c r="D762" s="510" t="s">
        <v>347</v>
      </c>
      <c r="E762" s="504">
        <v>7500</v>
      </c>
      <c r="F762" s="621">
        <v>8.5</v>
      </c>
      <c r="G762" s="1053"/>
      <c r="H762" s="506">
        <v>7</v>
      </c>
      <c r="I762" s="506">
        <v>10.5</v>
      </c>
      <c r="J762" s="764">
        <v>125</v>
      </c>
      <c r="K762" s="145" t="s">
        <v>347</v>
      </c>
      <c r="L762" s="492">
        <v>12</v>
      </c>
      <c r="M762" s="780">
        <v>5000</v>
      </c>
      <c r="N762" s="500">
        <v>0.25</v>
      </c>
      <c r="O762" s="788">
        <v>1.5</v>
      </c>
      <c r="P762" s="492">
        <v>10</v>
      </c>
      <c r="Q762" s="507">
        <v>0.02</v>
      </c>
      <c r="R762" s="201">
        <v>1043</v>
      </c>
      <c r="S762" s="201">
        <v>7</v>
      </c>
      <c r="T762" s="1277">
        <v>675</v>
      </c>
      <c r="U762" s="506">
        <v>13.475</v>
      </c>
      <c r="V762" s="506">
        <v>2.25</v>
      </c>
      <c r="W762" s="506"/>
      <c r="X762" s="506">
        <v>0.56</v>
      </c>
      <c r="Y762" s="823">
        <v>2.25</v>
      </c>
      <c r="Z762" s="831">
        <v>8.415000000000001</v>
      </c>
      <c r="AA762" s="866"/>
      <c r="AB762" s="826"/>
      <c r="AC762" s="939">
        <v>15</v>
      </c>
      <c r="AD762" s="826" t="s">
        <v>483</v>
      </c>
      <c r="AE762" s="826">
        <v>0</v>
      </c>
      <c r="AF762" s="804">
        <v>12022</v>
      </c>
    </row>
    <row r="763" spans="1:32" ht="14.25">
      <c r="A763" s="990">
        <v>12023</v>
      </c>
      <c r="B763" s="991"/>
      <c r="C763" s="991" t="s">
        <v>1227</v>
      </c>
      <c r="D763" s="1040" t="s">
        <v>347</v>
      </c>
      <c r="E763" s="1028">
        <v>14500</v>
      </c>
      <c r="F763" s="1049">
        <v>11</v>
      </c>
      <c r="G763" s="1052"/>
      <c r="H763" s="613">
        <v>9.5</v>
      </c>
      <c r="I763" s="613">
        <v>14</v>
      </c>
      <c r="J763" s="1031">
        <v>175</v>
      </c>
      <c r="K763" s="1032" t="s">
        <v>347</v>
      </c>
      <c r="L763" s="1251">
        <v>12</v>
      </c>
      <c r="M763" s="1232">
        <v>6000</v>
      </c>
      <c r="N763" s="1264">
        <v>0.25</v>
      </c>
      <c r="O763" s="815">
        <v>1.25</v>
      </c>
      <c r="P763" s="812">
        <v>11</v>
      </c>
      <c r="Q763" s="609">
        <v>0.02</v>
      </c>
      <c r="R763" s="610">
        <v>290.55</v>
      </c>
      <c r="S763" s="610">
        <v>42</v>
      </c>
      <c r="T763" s="1278">
        <v>1255</v>
      </c>
      <c r="U763" s="608">
        <v>4.2543750000000005</v>
      </c>
      <c r="V763" s="613">
        <v>3.020833333333333</v>
      </c>
      <c r="W763" s="613"/>
      <c r="X763" s="608">
        <v>0.56</v>
      </c>
      <c r="Y763" s="827">
        <v>3.020833333333333</v>
      </c>
      <c r="Z763" s="828">
        <v>11.211488095238096</v>
      </c>
      <c r="AA763" s="869"/>
      <c r="AB763" s="830"/>
      <c r="AC763" s="940">
        <v>29</v>
      </c>
      <c r="AD763" s="830" t="s">
        <v>483</v>
      </c>
      <c r="AE763" s="830">
        <v>0</v>
      </c>
      <c r="AF763" s="803">
        <v>12023</v>
      </c>
    </row>
    <row r="764" spans="1:32" ht="14.25">
      <c r="A764" s="154">
        <v>12033</v>
      </c>
      <c r="B764" s="992"/>
      <c r="C764" s="992" t="s">
        <v>1364</v>
      </c>
      <c r="D764" s="510" t="s">
        <v>347</v>
      </c>
      <c r="E764" s="504">
        <v>21000</v>
      </c>
      <c r="F764" s="621">
        <v>13.5</v>
      </c>
      <c r="G764" s="1053"/>
      <c r="H764" s="506">
        <v>11.5</v>
      </c>
      <c r="I764" s="506">
        <v>17</v>
      </c>
      <c r="J764" s="764">
        <v>200</v>
      </c>
      <c r="K764" s="145" t="s">
        <v>347</v>
      </c>
      <c r="L764" s="492">
        <v>12</v>
      </c>
      <c r="M764" s="780">
        <v>7000</v>
      </c>
      <c r="N764" s="500">
        <v>0.25</v>
      </c>
      <c r="O764" s="788">
        <v>1.15</v>
      </c>
      <c r="P764" s="492">
        <v>12</v>
      </c>
      <c r="Q764" s="507">
        <v>0.02</v>
      </c>
      <c r="R764" s="201">
        <v>80.03999999999999</v>
      </c>
      <c r="S764" s="201">
        <v>70</v>
      </c>
      <c r="T764" s="1277">
        <v>1794</v>
      </c>
      <c r="U764" s="506">
        <v>3.0376</v>
      </c>
      <c r="V764" s="506">
        <v>3.4499999999999997</v>
      </c>
      <c r="W764" s="506"/>
      <c r="X764" s="506">
        <v>0.56</v>
      </c>
      <c r="Y764" s="823">
        <v>3.4499999999999997</v>
      </c>
      <c r="Z764" s="831">
        <v>13.662</v>
      </c>
      <c r="AA764" s="866"/>
      <c r="AB764" s="826"/>
      <c r="AC764" s="939">
        <v>42</v>
      </c>
      <c r="AD764" s="826" t="s">
        <v>483</v>
      </c>
      <c r="AE764" s="826">
        <v>0</v>
      </c>
      <c r="AF764" s="804">
        <v>12033</v>
      </c>
    </row>
    <row r="765" spans="1:32" ht="28.5">
      <c r="A765" s="990">
        <v>12034</v>
      </c>
      <c r="B765" s="991"/>
      <c r="C765" s="991" t="s">
        <v>1365</v>
      </c>
      <c r="D765" s="1040" t="s">
        <v>347</v>
      </c>
      <c r="E765" s="1028">
        <v>25000</v>
      </c>
      <c r="F765" s="1049">
        <v>13.5</v>
      </c>
      <c r="G765" s="1052"/>
      <c r="H765" s="613">
        <v>11.5</v>
      </c>
      <c r="I765" s="613">
        <v>16.5</v>
      </c>
      <c r="J765" s="1031">
        <v>250</v>
      </c>
      <c r="K765" s="1032" t="s">
        <v>347</v>
      </c>
      <c r="L765" s="1251">
        <v>12</v>
      </c>
      <c r="M765" s="1232">
        <v>8000</v>
      </c>
      <c r="N765" s="1264">
        <v>0.25</v>
      </c>
      <c r="O765" s="815">
        <v>1.15</v>
      </c>
      <c r="P765" s="812">
        <v>15</v>
      </c>
      <c r="Q765" s="609">
        <v>0.02</v>
      </c>
      <c r="R765" s="610">
        <v>126.65</v>
      </c>
      <c r="S765" s="610">
        <v>70</v>
      </c>
      <c r="T765" s="1278">
        <v>2140</v>
      </c>
      <c r="U765" s="608">
        <v>5.001250000000001</v>
      </c>
      <c r="V765" s="613">
        <v>3.5937499999999996</v>
      </c>
      <c r="W765" s="613"/>
      <c r="X765" s="608">
        <v>0.56</v>
      </c>
      <c r="Y765" s="827">
        <v>3.5937499999999996</v>
      </c>
      <c r="Z765" s="828">
        <v>13.369125000000002</v>
      </c>
      <c r="AA765" s="869"/>
      <c r="AB765" s="830"/>
      <c r="AC765" s="940">
        <v>50</v>
      </c>
      <c r="AD765" s="830" t="s">
        <v>483</v>
      </c>
      <c r="AE765" s="830">
        <v>0</v>
      </c>
      <c r="AF765" s="803">
        <v>12034</v>
      </c>
    </row>
    <row r="766" spans="1:32" ht="14.25">
      <c r="A766" s="154">
        <v>12024</v>
      </c>
      <c r="B766" s="992"/>
      <c r="C766" s="992" t="s">
        <v>1228</v>
      </c>
      <c r="D766" s="510" t="s">
        <v>347</v>
      </c>
      <c r="E766" s="504">
        <v>28000</v>
      </c>
      <c r="F766" s="621">
        <v>22</v>
      </c>
      <c r="G766" s="1053"/>
      <c r="H766" s="506">
        <v>19</v>
      </c>
      <c r="I766" s="506">
        <v>27</v>
      </c>
      <c r="J766" s="764">
        <v>175</v>
      </c>
      <c r="K766" s="145" t="s">
        <v>347</v>
      </c>
      <c r="L766" s="492">
        <v>12</v>
      </c>
      <c r="M766" s="780">
        <v>5000</v>
      </c>
      <c r="N766" s="500">
        <v>0.25</v>
      </c>
      <c r="O766" s="788">
        <v>1.15</v>
      </c>
      <c r="P766" s="492">
        <v>14</v>
      </c>
      <c r="Q766" s="507">
        <v>0.02</v>
      </c>
      <c r="R766" s="201">
        <v>618.35</v>
      </c>
      <c r="S766" s="201">
        <v>77</v>
      </c>
      <c r="T766" s="1277">
        <v>2380</v>
      </c>
      <c r="U766" s="506">
        <v>3.55975</v>
      </c>
      <c r="V766" s="506">
        <v>6.4399999999999995</v>
      </c>
      <c r="W766" s="506"/>
      <c r="X766" s="506">
        <v>0.56</v>
      </c>
      <c r="Y766" s="823">
        <v>6.4399999999999995</v>
      </c>
      <c r="Z766" s="831">
        <v>22.044</v>
      </c>
      <c r="AA766" s="866"/>
      <c r="AB766" s="826"/>
      <c r="AC766" s="939">
        <v>56</v>
      </c>
      <c r="AD766" s="826" t="s">
        <v>483</v>
      </c>
      <c r="AE766" s="826">
        <v>0</v>
      </c>
      <c r="AF766" s="804">
        <v>12024</v>
      </c>
    </row>
    <row r="767" spans="1:32" ht="14.25">
      <c r="A767" s="990">
        <v>12025</v>
      </c>
      <c r="B767" s="991"/>
      <c r="C767" s="991" t="s">
        <v>843</v>
      </c>
      <c r="D767" s="1040" t="s">
        <v>347</v>
      </c>
      <c r="E767" s="1028">
        <v>3200</v>
      </c>
      <c r="F767" s="1049">
        <v>2.8</v>
      </c>
      <c r="G767" s="1052"/>
      <c r="H767" s="613">
        <v>2.5</v>
      </c>
      <c r="I767" s="613">
        <v>3.5</v>
      </c>
      <c r="J767" s="1031">
        <v>175</v>
      </c>
      <c r="K767" s="1032" t="s">
        <v>347</v>
      </c>
      <c r="L767" s="1251">
        <v>12</v>
      </c>
      <c r="M767" s="1232">
        <v>3000</v>
      </c>
      <c r="N767" s="1264">
        <v>0.1</v>
      </c>
      <c r="O767" s="815">
        <v>0.8</v>
      </c>
      <c r="P767" s="812">
        <v>1</v>
      </c>
      <c r="Q767" s="609">
        <v>0.02</v>
      </c>
      <c r="R767" s="610">
        <v>1199.8333333333335</v>
      </c>
      <c r="S767" s="610">
        <v>91</v>
      </c>
      <c r="T767" s="1278">
        <v>303.6</v>
      </c>
      <c r="U767" s="632">
        <v>2.627666666666667</v>
      </c>
      <c r="V767" s="613">
        <v>0.8533333333333334</v>
      </c>
      <c r="W767" s="613"/>
      <c r="X767" s="632">
        <v>0.56</v>
      </c>
      <c r="Y767" s="827">
        <v>0.8533333333333334</v>
      </c>
      <c r="Z767" s="828">
        <v>2.847009523809524</v>
      </c>
      <c r="AA767" s="869"/>
      <c r="AB767" s="830"/>
      <c r="AC767" s="940">
        <v>6.4</v>
      </c>
      <c r="AD767" s="830" t="s">
        <v>483</v>
      </c>
      <c r="AE767" s="830">
        <v>0</v>
      </c>
      <c r="AF767" s="803">
        <v>12025</v>
      </c>
    </row>
    <row r="768" spans="1:32" ht="14.25">
      <c r="A768" s="154">
        <v>12026</v>
      </c>
      <c r="B768" s="992"/>
      <c r="C768" s="992" t="s">
        <v>844</v>
      </c>
      <c r="D768" s="510" t="s">
        <v>347</v>
      </c>
      <c r="E768" s="504">
        <v>4000</v>
      </c>
      <c r="F768" s="621">
        <v>3.4</v>
      </c>
      <c r="G768" s="1053"/>
      <c r="H768" s="506">
        <v>2.9</v>
      </c>
      <c r="I768" s="506">
        <v>4.2</v>
      </c>
      <c r="J768" s="764">
        <v>175</v>
      </c>
      <c r="K768" s="145" t="s">
        <v>347</v>
      </c>
      <c r="L768" s="492">
        <v>12</v>
      </c>
      <c r="M768" s="780">
        <v>3000</v>
      </c>
      <c r="N768" s="500">
        <v>0.1</v>
      </c>
      <c r="O768" s="788">
        <v>0.7</v>
      </c>
      <c r="P768" s="492">
        <v>1</v>
      </c>
      <c r="Q768" s="513">
        <v>0.01</v>
      </c>
      <c r="R768" s="201">
        <v>262.98</v>
      </c>
      <c r="S768" s="201">
        <v>189</v>
      </c>
      <c r="T768" s="1277">
        <v>378</v>
      </c>
      <c r="U768" s="518">
        <v>3.518307692307692</v>
      </c>
      <c r="V768" s="506">
        <v>0.9333333333333332</v>
      </c>
      <c r="W768" s="506"/>
      <c r="X768" s="518">
        <v>0.28</v>
      </c>
      <c r="Y768" s="823">
        <v>0.9333333333333332</v>
      </c>
      <c r="Z768" s="831">
        <v>3.4026666666666667</v>
      </c>
      <c r="AA768" s="866"/>
      <c r="AB768" s="826"/>
      <c r="AC768" s="939">
        <v>8</v>
      </c>
      <c r="AD768" s="826" t="s">
        <v>483</v>
      </c>
      <c r="AE768" s="826">
        <v>0</v>
      </c>
      <c r="AF768" s="804">
        <v>12026</v>
      </c>
    </row>
    <row r="769" spans="1:32" ht="14.25">
      <c r="A769" s="990">
        <v>12030</v>
      </c>
      <c r="B769" s="991"/>
      <c r="C769" s="991" t="s">
        <v>845</v>
      </c>
      <c r="D769" s="1027"/>
      <c r="E769" s="1028">
        <v>4000</v>
      </c>
      <c r="F769" s="1049">
        <v>9</v>
      </c>
      <c r="G769" s="1209"/>
      <c r="H769" s="613">
        <v>7.7</v>
      </c>
      <c r="I769" s="613">
        <v>11.2</v>
      </c>
      <c r="J769" s="1031">
        <v>75</v>
      </c>
      <c r="K769" s="1032"/>
      <c r="L769" s="1251">
        <v>12</v>
      </c>
      <c r="M769" s="1232">
        <v>5000</v>
      </c>
      <c r="N769" s="1264">
        <v>0.25</v>
      </c>
      <c r="O769" s="815">
        <v>2.75</v>
      </c>
      <c r="P769" s="812">
        <v>20</v>
      </c>
      <c r="Q769" s="622">
        <v>0.001</v>
      </c>
      <c r="R769" s="610">
        <v>238.96</v>
      </c>
      <c r="S769" s="610">
        <v>7</v>
      </c>
      <c r="T769" s="1278">
        <v>448</v>
      </c>
      <c r="U769" s="635">
        <v>0.06294000000000001</v>
      </c>
      <c r="V769" s="616">
        <v>2.2</v>
      </c>
      <c r="W769" s="616"/>
      <c r="X769" s="635">
        <v>0.028</v>
      </c>
      <c r="Y769" s="827">
        <v>2.2</v>
      </c>
      <c r="Z769" s="914">
        <v>8.990666666666668</v>
      </c>
      <c r="AA769" s="915"/>
      <c r="AB769" s="916"/>
      <c r="AC769" s="940">
        <v>8</v>
      </c>
      <c r="AD769" s="830" t="s">
        <v>483</v>
      </c>
      <c r="AE769" s="830">
        <v>0</v>
      </c>
      <c r="AF769" s="803">
        <v>12030</v>
      </c>
    </row>
    <row r="770" spans="1:32" ht="14.25">
      <c r="A770" s="154">
        <v>12031</v>
      </c>
      <c r="B770" s="992"/>
      <c r="C770" s="992" t="s">
        <v>846</v>
      </c>
      <c r="D770" s="510" t="s">
        <v>347</v>
      </c>
      <c r="E770" s="504">
        <v>4800</v>
      </c>
      <c r="F770" s="621">
        <v>10</v>
      </c>
      <c r="G770" s="1053"/>
      <c r="H770" s="506">
        <v>8.5</v>
      </c>
      <c r="I770" s="506">
        <v>12.9</v>
      </c>
      <c r="J770" s="764">
        <v>50</v>
      </c>
      <c r="K770" s="145" t="s">
        <v>347</v>
      </c>
      <c r="L770" s="492">
        <v>15</v>
      </c>
      <c r="M770" s="780">
        <v>4000</v>
      </c>
      <c r="N770" s="500">
        <v>0.25</v>
      </c>
      <c r="O770" s="788">
        <v>1.45</v>
      </c>
      <c r="P770" s="492">
        <v>7</v>
      </c>
      <c r="Q770" s="507">
        <v>0.1</v>
      </c>
      <c r="R770" s="201">
        <v>130.5</v>
      </c>
      <c r="S770" s="201">
        <v>35</v>
      </c>
      <c r="T770" s="1277">
        <v>375.6</v>
      </c>
      <c r="U770" s="506">
        <v>6.74</v>
      </c>
      <c r="V770" s="506">
        <v>1.74</v>
      </c>
      <c r="W770" s="506"/>
      <c r="X770" s="506">
        <v>2.8000000000000003</v>
      </c>
      <c r="Y770" s="823">
        <v>1.74</v>
      </c>
      <c r="Z770" s="831">
        <v>10.177200000000001</v>
      </c>
      <c r="AA770" s="866"/>
      <c r="AB770" s="826"/>
      <c r="AC770" s="939">
        <v>9.6</v>
      </c>
      <c r="AD770" s="826" t="s">
        <v>483</v>
      </c>
      <c r="AE770" s="826">
        <v>0</v>
      </c>
      <c r="AF770" s="804">
        <v>12031</v>
      </c>
    </row>
    <row r="771" spans="1:32" ht="14.25">
      <c r="A771" s="990">
        <v>12032</v>
      </c>
      <c r="B771" s="991"/>
      <c r="C771" s="991" t="s">
        <v>847</v>
      </c>
      <c r="D771" s="1040" t="s">
        <v>347</v>
      </c>
      <c r="E771" s="1028">
        <v>55000</v>
      </c>
      <c r="F771" s="1049">
        <v>30</v>
      </c>
      <c r="G771" s="1052"/>
      <c r="H771" s="613">
        <v>26</v>
      </c>
      <c r="I771" s="613">
        <v>38</v>
      </c>
      <c r="J771" s="1031">
        <v>200</v>
      </c>
      <c r="K771" s="1032" t="s">
        <v>347</v>
      </c>
      <c r="L771" s="1251">
        <v>15</v>
      </c>
      <c r="M771" s="1232">
        <v>6000</v>
      </c>
      <c r="N771" s="1264">
        <v>0.25</v>
      </c>
      <c r="O771" s="815">
        <v>0.7</v>
      </c>
      <c r="P771" s="812">
        <v>67</v>
      </c>
      <c r="Q771" s="609">
        <v>0.02</v>
      </c>
      <c r="R771" s="610">
        <v>1026.6</v>
      </c>
      <c r="S771" s="610">
        <v>112</v>
      </c>
      <c r="T771" s="1278">
        <v>4224.5</v>
      </c>
      <c r="U771" s="646">
        <v>4.6488</v>
      </c>
      <c r="V771" s="613">
        <v>6.416666666666666</v>
      </c>
      <c r="W771" s="613"/>
      <c r="X771" s="646">
        <v>0.56</v>
      </c>
      <c r="Y771" s="827">
        <v>6.416666666666666</v>
      </c>
      <c r="Z771" s="828">
        <v>30.293083333333335</v>
      </c>
      <c r="AA771" s="869"/>
      <c r="AB771" s="830"/>
      <c r="AC771" s="940">
        <v>110</v>
      </c>
      <c r="AD771" s="830" t="s">
        <v>483</v>
      </c>
      <c r="AE771" s="830">
        <v>0</v>
      </c>
      <c r="AF771" s="803">
        <v>12032</v>
      </c>
    </row>
    <row r="772" spans="1:32" ht="14.25">
      <c r="A772" s="496"/>
      <c r="B772" s="761"/>
      <c r="C772" s="496"/>
      <c r="D772" s="510"/>
      <c r="E772" s="504"/>
      <c r="F772" s="509"/>
      <c r="G772" s="1053"/>
      <c r="H772" s="506"/>
      <c r="I772" s="506"/>
      <c r="J772" s="764"/>
      <c r="K772" s="495"/>
      <c r="L772" s="496"/>
      <c r="M772" s="780"/>
      <c r="N772" s="500" t="s">
        <v>413</v>
      </c>
      <c r="O772" s="788" t="s">
        <v>413</v>
      </c>
      <c r="P772" s="810"/>
      <c r="Q772" s="513">
        <v>0.005</v>
      </c>
      <c r="R772" s="201">
        <v>663.05</v>
      </c>
      <c r="S772" s="201">
        <v>112</v>
      </c>
      <c r="T772" s="1277" t="s">
        <v>413</v>
      </c>
      <c r="U772" s="540">
        <v>1.5856999999999999</v>
      </c>
      <c r="V772" s="506"/>
      <c r="W772" s="506"/>
      <c r="X772" s="540">
        <v>0.14</v>
      </c>
      <c r="Y772" s="823" t="s">
        <v>413</v>
      </c>
      <c r="Z772" s="831"/>
      <c r="AA772" s="866"/>
      <c r="AB772" s="802"/>
      <c r="AC772" s="939" t="s">
        <v>413</v>
      </c>
      <c r="AD772" s="826" t="s">
        <v>413</v>
      </c>
      <c r="AE772" s="826"/>
      <c r="AF772" s="802"/>
    </row>
    <row r="773" spans="1:32" ht="14.25">
      <c r="A773" s="987">
        <v>12040</v>
      </c>
      <c r="B773" s="988"/>
      <c r="C773" s="989" t="s">
        <v>848</v>
      </c>
      <c r="D773" s="1021"/>
      <c r="E773" s="1022"/>
      <c r="F773" s="1023"/>
      <c r="G773" s="1024"/>
      <c r="H773" s="1025"/>
      <c r="I773" s="1025"/>
      <c r="J773" s="1026"/>
      <c r="K773" s="1026"/>
      <c r="L773" s="1021"/>
      <c r="M773" s="1026"/>
      <c r="N773" s="1263" t="s">
        <v>413</v>
      </c>
      <c r="O773" s="816" t="s">
        <v>413</v>
      </c>
      <c r="P773" s="809"/>
      <c r="Q773" s="622">
        <v>0.005</v>
      </c>
      <c r="R773" s="610">
        <v>208.8</v>
      </c>
      <c r="S773" s="610">
        <v>28</v>
      </c>
      <c r="T773" s="1276" t="s">
        <v>413</v>
      </c>
      <c r="U773" s="646">
        <v>1.2080000000000002</v>
      </c>
      <c r="V773" s="1025"/>
      <c r="W773" s="1025"/>
      <c r="X773" s="646">
        <v>0.14</v>
      </c>
      <c r="Y773" s="833" t="s">
        <v>413</v>
      </c>
      <c r="Z773" s="820"/>
      <c r="AA773" s="821"/>
      <c r="AB773" s="822"/>
      <c r="AC773" s="938" t="s">
        <v>413</v>
      </c>
      <c r="AD773" s="822" t="s">
        <v>413</v>
      </c>
      <c r="AE773" s="822"/>
      <c r="AF773" s="801">
        <v>12040</v>
      </c>
    </row>
    <row r="774" spans="1:32" ht="14.25">
      <c r="A774" s="496"/>
      <c r="B774" s="761"/>
      <c r="C774" s="496"/>
      <c r="D774" s="503"/>
      <c r="E774" s="504"/>
      <c r="F774" s="509"/>
      <c r="G774" s="495"/>
      <c r="H774" s="506"/>
      <c r="I774" s="506"/>
      <c r="J774" s="764"/>
      <c r="K774" s="495"/>
      <c r="L774" s="496"/>
      <c r="M774" s="764"/>
      <c r="N774" s="500" t="s">
        <v>413</v>
      </c>
      <c r="O774" s="788" t="s">
        <v>413</v>
      </c>
      <c r="P774" s="810"/>
      <c r="Q774" s="513"/>
      <c r="R774" s="201" t="s">
        <v>413</v>
      </c>
      <c r="S774" s="201"/>
      <c r="T774" s="1277" t="s">
        <v>413</v>
      </c>
      <c r="U774" s="540"/>
      <c r="V774" s="506"/>
      <c r="W774" s="506"/>
      <c r="X774" s="540"/>
      <c r="Y774" s="823" t="s">
        <v>413</v>
      </c>
      <c r="Z774" s="831"/>
      <c r="AA774" s="850"/>
      <c r="AB774" s="802"/>
      <c r="AC774" s="939" t="s">
        <v>413</v>
      </c>
      <c r="AD774" s="826" t="s">
        <v>413</v>
      </c>
      <c r="AE774" s="826"/>
      <c r="AF774" s="802"/>
    </row>
    <row r="775" spans="1:32" ht="14.25">
      <c r="A775" s="990">
        <v>12041</v>
      </c>
      <c r="B775" s="991"/>
      <c r="C775" s="991" t="s">
        <v>849</v>
      </c>
      <c r="D775" s="1040" t="s">
        <v>347</v>
      </c>
      <c r="E775" s="1028">
        <v>20000</v>
      </c>
      <c r="F775" s="1049">
        <v>27</v>
      </c>
      <c r="G775" s="1052"/>
      <c r="H775" s="613">
        <v>23</v>
      </c>
      <c r="I775" s="613">
        <v>32</v>
      </c>
      <c r="J775" s="1031">
        <v>120</v>
      </c>
      <c r="K775" s="1032" t="s">
        <v>347</v>
      </c>
      <c r="L775" s="1251">
        <v>12</v>
      </c>
      <c r="M775" s="1232">
        <v>3000</v>
      </c>
      <c r="N775" s="1264">
        <v>0.25</v>
      </c>
      <c r="O775" s="815">
        <v>1.4</v>
      </c>
      <c r="P775" s="812">
        <v>24</v>
      </c>
      <c r="Q775" s="626"/>
      <c r="R775" s="627" t="s">
        <v>413</v>
      </c>
      <c r="S775" s="627"/>
      <c r="T775" s="1278">
        <v>1784</v>
      </c>
      <c r="U775" s="637"/>
      <c r="V775" s="613">
        <v>9.333333333333334</v>
      </c>
      <c r="W775" s="613"/>
      <c r="X775" s="625"/>
      <c r="Y775" s="827">
        <v>9.333333333333334</v>
      </c>
      <c r="Z775" s="828">
        <v>26.620000000000005</v>
      </c>
      <c r="AA775" s="869"/>
      <c r="AB775" s="830"/>
      <c r="AC775" s="940">
        <v>40</v>
      </c>
      <c r="AD775" s="830" t="s">
        <v>483</v>
      </c>
      <c r="AE775" s="830">
        <v>0</v>
      </c>
      <c r="AF775" s="803">
        <v>12041</v>
      </c>
    </row>
    <row r="776" spans="1:32" ht="14.25">
      <c r="A776" s="154">
        <v>12042</v>
      </c>
      <c r="B776" s="992"/>
      <c r="C776" s="992" t="s">
        <v>850</v>
      </c>
      <c r="D776" s="510" t="s">
        <v>347</v>
      </c>
      <c r="E776" s="504">
        <v>28000</v>
      </c>
      <c r="F776" s="621">
        <v>36</v>
      </c>
      <c r="G776" s="1053"/>
      <c r="H776" s="506">
        <v>31</v>
      </c>
      <c r="I776" s="506">
        <v>43</v>
      </c>
      <c r="J776" s="764">
        <v>120</v>
      </c>
      <c r="K776" s="145" t="s">
        <v>347</v>
      </c>
      <c r="L776" s="492">
        <v>12</v>
      </c>
      <c r="M776" s="780">
        <v>3000</v>
      </c>
      <c r="N776" s="500">
        <v>0.25</v>
      </c>
      <c r="O776" s="788">
        <v>1.3</v>
      </c>
      <c r="P776" s="492">
        <v>24</v>
      </c>
      <c r="Q776" s="507"/>
      <c r="R776" s="201" t="s">
        <v>413</v>
      </c>
      <c r="S776" s="201"/>
      <c r="T776" s="1277">
        <v>2440</v>
      </c>
      <c r="U776" s="511"/>
      <c r="V776" s="506">
        <v>12.133333333333335</v>
      </c>
      <c r="W776" s="506"/>
      <c r="X776" s="506"/>
      <c r="Y776" s="823">
        <v>12.133333333333335</v>
      </c>
      <c r="Z776" s="831">
        <v>35.71333333333334</v>
      </c>
      <c r="AA776" s="866"/>
      <c r="AB776" s="826"/>
      <c r="AC776" s="939">
        <v>56</v>
      </c>
      <c r="AD776" s="826" t="s">
        <v>483</v>
      </c>
      <c r="AE776" s="826">
        <v>0</v>
      </c>
      <c r="AF776" s="804">
        <v>12042</v>
      </c>
    </row>
    <row r="777" spans="1:32" ht="28.5">
      <c r="A777" s="990">
        <v>12043</v>
      </c>
      <c r="B777" s="991"/>
      <c r="C777" s="991" t="s">
        <v>851</v>
      </c>
      <c r="D777" s="1110" t="s">
        <v>347</v>
      </c>
      <c r="E777" s="1028">
        <v>64000</v>
      </c>
      <c r="F777" s="1049">
        <v>53</v>
      </c>
      <c r="G777" s="1052"/>
      <c r="H777" s="613">
        <v>46</v>
      </c>
      <c r="I777" s="613">
        <v>65</v>
      </c>
      <c r="J777" s="1031">
        <v>175</v>
      </c>
      <c r="K777" s="1032" t="s">
        <v>347</v>
      </c>
      <c r="L777" s="1251">
        <v>12</v>
      </c>
      <c r="M777" s="1232">
        <v>4000</v>
      </c>
      <c r="N777" s="1264">
        <v>0.25</v>
      </c>
      <c r="O777" s="815">
        <v>1.05</v>
      </c>
      <c r="P777" s="812">
        <v>49</v>
      </c>
      <c r="Q777" s="603"/>
      <c r="R777" s="605" t="s">
        <v>413</v>
      </c>
      <c r="S777" s="606"/>
      <c r="T777" s="1278">
        <v>5542</v>
      </c>
      <c r="U777" s="604"/>
      <c r="V777" s="613">
        <v>16.8</v>
      </c>
      <c r="W777" s="613"/>
      <c r="X777" s="604"/>
      <c r="Y777" s="827">
        <v>16.8</v>
      </c>
      <c r="Z777" s="828">
        <v>53.315428571428576</v>
      </c>
      <c r="AA777" s="869"/>
      <c r="AB777" s="830"/>
      <c r="AC777" s="940">
        <v>128</v>
      </c>
      <c r="AD777" s="830" t="s">
        <v>483</v>
      </c>
      <c r="AE777" s="830">
        <v>0</v>
      </c>
      <c r="AF777" s="803">
        <v>12043</v>
      </c>
    </row>
    <row r="778" spans="1:32" ht="14.25">
      <c r="A778" s="154"/>
      <c r="B778" s="992"/>
      <c r="C778" s="154"/>
      <c r="D778" s="208"/>
      <c r="E778" s="504"/>
      <c r="F778" s="509"/>
      <c r="G778" s="1053"/>
      <c r="H778" s="506"/>
      <c r="I778" s="506"/>
      <c r="J778" s="764"/>
      <c r="L778" s="492"/>
      <c r="M778" s="780"/>
      <c r="N778" s="500" t="s">
        <v>413</v>
      </c>
      <c r="O778" s="788" t="s">
        <v>413</v>
      </c>
      <c r="P778" s="492"/>
      <c r="Q778" s="495"/>
      <c r="R778" s="201" t="s">
        <v>413</v>
      </c>
      <c r="S778" s="499"/>
      <c r="T778" s="1277" t="s">
        <v>413</v>
      </c>
      <c r="U778" s="495"/>
      <c r="V778" s="506"/>
      <c r="W778" s="506"/>
      <c r="X778" s="495"/>
      <c r="Y778" s="823" t="s">
        <v>413</v>
      </c>
      <c r="Z778" s="831"/>
      <c r="AA778" s="889"/>
      <c r="AB778" s="826"/>
      <c r="AC778" s="939" t="s">
        <v>413</v>
      </c>
      <c r="AD778" s="826" t="s">
        <v>413</v>
      </c>
      <c r="AE778" s="826"/>
      <c r="AF778" s="804"/>
    </row>
    <row r="779" spans="1:32" ht="14.25">
      <c r="A779" s="987">
        <v>12050</v>
      </c>
      <c r="B779" s="988"/>
      <c r="C779" s="989" t="s">
        <v>852</v>
      </c>
      <c r="D779" s="1026"/>
      <c r="E779" s="1022"/>
      <c r="F779" s="1023"/>
      <c r="G779" s="1024"/>
      <c r="H779" s="1025"/>
      <c r="I779" s="1025"/>
      <c r="J779" s="1026"/>
      <c r="K779" s="1026"/>
      <c r="L779" s="1021"/>
      <c r="M779" s="1026"/>
      <c r="N779" s="1263" t="s">
        <v>413</v>
      </c>
      <c r="O779" s="816" t="s">
        <v>413</v>
      </c>
      <c r="P779" s="809"/>
      <c r="Q779" s="609">
        <v>0.1</v>
      </c>
      <c r="R779" s="610">
        <v>223.5</v>
      </c>
      <c r="S779" s="610">
        <v>49</v>
      </c>
      <c r="T779" s="1276" t="s">
        <v>413</v>
      </c>
      <c r="U779" s="608">
        <v>5.57</v>
      </c>
      <c r="V779" s="1025"/>
      <c r="W779" s="1025"/>
      <c r="X779" s="608">
        <v>2.8000000000000003</v>
      </c>
      <c r="Y779" s="833" t="s">
        <v>413</v>
      </c>
      <c r="Z779" s="820"/>
      <c r="AA779" s="821"/>
      <c r="AB779" s="822"/>
      <c r="AC779" s="938" t="s">
        <v>413</v>
      </c>
      <c r="AD779" s="822" t="s">
        <v>413</v>
      </c>
      <c r="AE779" s="822"/>
      <c r="AF779" s="801">
        <v>12050</v>
      </c>
    </row>
    <row r="780" spans="1:32" ht="14.25">
      <c r="A780" s="496"/>
      <c r="B780" s="761"/>
      <c r="C780" s="1006"/>
      <c r="D780" s="499"/>
      <c r="E780" s="504"/>
      <c r="F780" s="496"/>
      <c r="G780" s="495"/>
      <c r="H780" s="495"/>
      <c r="I780" s="495"/>
      <c r="J780" s="499"/>
      <c r="K780" s="495"/>
      <c r="L780" s="496"/>
      <c r="M780" s="499"/>
      <c r="N780" s="500" t="s">
        <v>413</v>
      </c>
      <c r="O780" s="788" t="s">
        <v>413</v>
      </c>
      <c r="P780" s="810"/>
      <c r="Q780" s="507">
        <v>0.1</v>
      </c>
      <c r="R780" s="201">
        <v>238.4</v>
      </c>
      <c r="S780" s="201">
        <v>63</v>
      </c>
      <c r="T780" s="1277" t="s">
        <v>413</v>
      </c>
      <c r="U780" s="506">
        <v>6.155999999999999</v>
      </c>
      <c r="V780" s="496"/>
      <c r="W780" s="496"/>
      <c r="X780" s="506">
        <v>2.8000000000000003</v>
      </c>
      <c r="Y780" s="823" t="s">
        <v>413</v>
      </c>
      <c r="Z780" s="850"/>
      <c r="AA780" s="850"/>
      <c r="AB780" s="802"/>
      <c r="AC780" s="939" t="s">
        <v>413</v>
      </c>
      <c r="AD780" s="826" t="s">
        <v>413</v>
      </c>
      <c r="AE780" s="826"/>
      <c r="AF780" s="802"/>
    </row>
    <row r="781" spans="1:32" ht="14.25">
      <c r="A781" s="990">
        <v>12051</v>
      </c>
      <c r="B781" s="991"/>
      <c r="C781" s="991" t="s">
        <v>853</v>
      </c>
      <c r="D781" s="1110"/>
      <c r="E781" s="1028">
        <v>35000</v>
      </c>
      <c r="F781" s="1049">
        <v>52</v>
      </c>
      <c r="G781" s="1066"/>
      <c r="H781" s="613">
        <v>44</v>
      </c>
      <c r="I781" s="613">
        <v>66</v>
      </c>
      <c r="J781" s="1031">
        <v>80</v>
      </c>
      <c r="K781" s="1032" t="s">
        <v>347</v>
      </c>
      <c r="L781" s="1251">
        <v>12</v>
      </c>
      <c r="M781" s="1232">
        <v>4000</v>
      </c>
      <c r="N781" s="1264">
        <v>0.25</v>
      </c>
      <c r="O781" s="815">
        <v>1.15</v>
      </c>
      <c r="P781" s="812">
        <v>20</v>
      </c>
      <c r="Q781" s="609">
        <v>0.05</v>
      </c>
      <c r="R781" s="610">
        <v>287.1</v>
      </c>
      <c r="S781" s="610">
        <v>56</v>
      </c>
      <c r="T781" s="1278">
        <v>2990</v>
      </c>
      <c r="U781" s="608">
        <v>6.994000000000001</v>
      </c>
      <c r="V781" s="613">
        <v>10.0625</v>
      </c>
      <c r="W781" s="613"/>
      <c r="X781" s="608">
        <v>1.4000000000000001</v>
      </c>
      <c r="Y781" s="827">
        <v>10.0625</v>
      </c>
      <c r="Z781" s="828">
        <v>52.181250000000006</v>
      </c>
      <c r="AA781" s="838"/>
      <c r="AB781" s="830"/>
      <c r="AC781" s="940">
        <v>70</v>
      </c>
      <c r="AD781" s="830" t="s">
        <v>483</v>
      </c>
      <c r="AE781" s="830">
        <v>0</v>
      </c>
      <c r="AF781" s="803">
        <v>12051</v>
      </c>
    </row>
    <row r="782" spans="1:32" ht="14.25">
      <c r="A782" s="154">
        <v>12053</v>
      </c>
      <c r="B782" s="992"/>
      <c r="C782" s="992" t="s">
        <v>854</v>
      </c>
      <c r="D782" s="208" t="s">
        <v>347</v>
      </c>
      <c r="E782" s="504">
        <v>39000</v>
      </c>
      <c r="F782" s="621">
        <v>48</v>
      </c>
      <c r="G782" s="1053"/>
      <c r="H782" s="506">
        <v>41</v>
      </c>
      <c r="I782" s="506">
        <v>61</v>
      </c>
      <c r="J782" s="764">
        <v>100</v>
      </c>
      <c r="K782" s="145" t="s">
        <v>347</v>
      </c>
      <c r="L782" s="492">
        <v>12</v>
      </c>
      <c r="M782" s="780">
        <v>4000</v>
      </c>
      <c r="N782" s="500">
        <v>0.25</v>
      </c>
      <c r="O782" s="788">
        <v>1.1</v>
      </c>
      <c r="P782" s="492">
        <v>21</v>
      </c>
      <c r="Q782" s="507">
        <v>0.1</v>
      </c>
      <c r="R782" s="201">
        <v>704.7</v>
      </c>
      <c r="S782" s="201">
        <v>119</v>
      </c>
      <c r="T782" s="1277">
        <v>3324</v>
      </c>
      <c r="U782" s="506">
        <v>10.498750000000001</v>
      </c>
      <c r="V782" s="506">
        <v>10.725000000000001</v>
      </c>
      <c r="W782" s="506"/>
      <c r="X782" s="506">
        <v>2.8000000000000003</v>
      </c>
      <c r="Y782" s="823">
        <v>10.725000000000001</v>
      </c>
      <c r="Z782" s="831">
        <v>48.36150000000001</v>
      </c>
      <c r="AA782" s="866"/>
      <c r="AB782" s="826"/>
      <c r="AC782" s="939">
        <v>78</v>
      </c>
      <c r="AD782" s="826" t="s">
        <v>483</v>
      </c>
      <c r="AE782" s="826">
        <v>0</v>
      </c>
      <c r="AF782" s="804">
        <v>12053</v>
      </c>
    </row>
    <row r="783" spans="1:32" ht="14.25">
      <c r="A783" s="990">
        <v>12055</v>
      </c>
      <c r="B783" s="991"/>
      <c r="C783" s="991" t="s">
        <v>855</v>
      </c>
      <c r="D783" s="1110" t="s">
        <v>347</v>
      </c>
      <c r="E783" s="1028">
        <v>5100</v>
      </c>
      <c r="F783" s="1049">
        <v>7.3</v>
      </c>
      <c r="G783" s="1052"/>
      <c r="H783" s="613">
        <v>6.7</v>
      </c>
      <c r="I783" s="613">
        <v>8.3</v>
      </c>
      <c r="J783" s="1031">
        <v>175</v>
      </c>
      <c r="K783" s="1032" t="s">
        <v>347</v>
      </c>
      <c r="L783" s="1251">
        <v>12</v>
      </c>
      <c r="M783" s="1232">
        <v>4000</v>
      </c>
      <c r="N783" s="1264">
        <v>0.25</v>
      </c>
      <c r="O783" s="815">
        <v>2.95</v>
      </c>
      <c r="P783" s="812">
        <v>14</v>
      </c>
      <c r="Q783" s="609">
        <v>0.1</v>
      </c>
      <c r="R783" s="610">
        <v>339.3</v>
      </c>
      <c r="S783" s="610">
        <v>0</v>
      </c>
      <c r="T783" s="1278">
        <v>502.2</v>
      </c>
      <c r="U783" s="608">
        <v>4.33875</v>
      </c>
      <c r="V783" s="613">
        <v>3.76125</v>
      </c>
      <c r="W783" s="613"/>
      <c r="X783" s="608">
        <v>2.8000000000000003</v>
      </c>
      <c r="Y783" s="827">
        <v>3.76125</v>
      </c>
      <c r="Z783" s="828">
        <v>7.294060714285715</v>
      </c>
      <c r="AA783" s="869"/>
      <c r="AB783" s="830"/>
      <c r="AC783" s="940">
        <v>10.200000000000001</v>
      </c>
      <c r="AD783" s="830" t="s">
        <v>483</v>
      </c>
      <c r="AE783" s="830">
        <v>0</v>
      </c>
      <c r="AF783" s="803">
        <v>12055</v>
      </c>
    </row>
    <row r="784" spans="1:32" ht="14.25">
      <c r="A784" s="496"/>
      <c r="B784" s="761"/>
      <c r="C784" s="496"/>
      <c r="D784" s="499"/>
      <c r="E784" s="504"/>
      <c r="F784" s="496"/>
      <c r="G784" s="495"/>
      <c r="H784" s="495"/>
      <c r="I784" s="495"/>
      <c r="J784" s="499"/>
      <c r="K784" s="495"/>
      <c r="L784" s="496"/>
      <c r="M784" s="499"/>
      <c r="N784" s="500" t="s">
        <v>413</v>
      </c>
      <c r="O784" s="788" t="s">
        <v>413</v>
      </c>
      <c r="P784" s="810"/>
      <c r="Q784" s="507">
        <v>0.05</v>
      </c>
      <c r="R784" s="201">
        <v>1261.5</v>
      </c>
      <c r="S784" s="201">
        <v>182</v>
      </c>
      <c r="T784" s="1277" t="s">
        <v>413</v>
      </c>
      <c r="U784" s="506">
        <v>18.40625</v>
      </c>
      <c r="V784" s="496"/>
      <c r="W784" s="496"/>
      <c r="X784" s="506">
        <v>1.4000000000000001</v>
      </c>
      <c r="Y784" s="823" t="s">
        <v>413</v>
      </c>
      <c r="Z784" s="802"/>
      <c r="AA784" s="802"/>
      <c r="AB784" s="802"/>
      <c r="AC784" s="939" t="s">
        <v>413</v>
      </c>
      <c r="AD784" s="826" t="s">
        <v>413</v>
      </c>
      <c r="AE784" s="802"/>
      <c r="AF784" s="802"/>
    </row>
    <row r="785" spans="1:32" ht="14.25">
      <c r="A785" s="987">
        <v>12070</v>
      </c>
      <c r="B785" s="988"/>
      <c r="C785" s="989" t="s">
        <v>856</v>
      </c>
      <c r="D785" s="1026"/>
      <c r="E785" s="1022"/>
      <c r="F785" s="1023"/>
      <c r="G785" s="1024"/>
      <c r="H785" s="1025"/>
      <c r="I785" s="1025"/>
      <c r="J785" s="1026"/>
      <c r="K785" s="1026"/>
      <c r="L785" s="1021"/>
      <c r="M785" s="1026"/>
      <c r="N785" s="1263" t="s">
        <v>413</v>
      </c>
      <c r="O785" s="816" t="s">
        <v>413</v>
      </c>
      <c r="P785" s="809"/>
      <c r="Q785" s="609">
        <v>0.05</v>
      </c>
      <c r="R785" s="610">
        <v>1609.5</v>
      </c>
      <c r="S785" s="610">
        <v>182</v>
      </c>
      <c r="T785" s="1276" t="s">
        <v>413</v>
      </c>
      <c r="U785" s="608">
        <v>22.85625</v>
      </c>
      <c r="V785" s="1025"/>
      <c r="W785" s="1025"/>
      <c r="X785" s="608">
        <v>1.4000000000000001</v>
      </c>
      <c r="Y785" s="833" t="s">
        <v>413</v>
      </c>
      <c r="Z785" s="820"/>
      <c r="AA785" s="821"/>
      <c r="AB785" s="822"/>
      <c r="AC785" s="938" t="s">
        <v>413</v>
      </c>
      <c r="AD785" s="822" t="s">
        <v>413</v>
      </c>
      <c r="AE785" s="822"/>
      <c r="AF785" s="801">
        <v>12070</v>
      </c>
    </row>
    <row r="786" spans="1:32" ht="14.25">
      <c r="A786" s="496"/>
      <c r="B786" s="761"/>
      <c r="C786" s="496"/>
      <c r="D786" s="499"/>
      <c r="E786" s="504"/>
      <c r="F786" s="496"/>
      <c r="G786" s="495"/>
      <c r="H786" s="495"/>
      <c r="I786" s="495"/>
      <c r="J786" s="499"/>
      <c r="K786" s="495"/>
      <c r="L786" s="496"/>
      <c r="M786" s="499"/>
      <c r="N786" s="500" t="s">
        <v>413</v>
      </c>
      <c r="O786" s="788" t="s">
        <v>413</v>
      </c>
      <c r="P786" s="810"/>
      <c r="Q786" s="507">
        <v>0.02</v>
      </c>
      <c r="R786" s="201">
        <v>399.34000000000003</v>
      </c>
      <c r="S786" s="201">
        <v>70</v>
      </c>
      <c r="T786" s="1277" t="s">
        <v>413</v>
      </c>
      <c r="U786" s="526">
        <v>1.19385</v>
      </c>
      <c r="V786" s="496"/>
      <c r="W786" s="496"/>
      <c r="X786" s="526">
        <v>0.56</v>
      </c>
      <c r="Y786" s="823" t="s">
        <v>413</v>
      </c>
      <c r="Z786" s="802"/>
      <c r="AA786" s="802"/>
      <c r="AB786" s="802"/>
      <c r="AC786" s="939" t="s">
        <v>413</v>
      </c>
      <c r="AD786" s="826" t="s">
        <v>413</v>
      </c>
      <c r="AE786" s="802"/>
      <c r="AF786" s="802"/>
    </row>
    <row r="787" spans="1:32" ht="14.25">
      <c r="A787" s="994">
        <v>12073</v>
      </c>
      <c r="B787" s="991"/>
      <c r="C787" s="991" t="s">
        <v>1468</v>
      </c>
      <c r="D787" s="1210">
        <v>25</v>
      </c>
      <c r="E787" s="1028">
        <v>30000</v>
      </c>
      <c r="F787" s="1049">
        <v>33</v>
      </c>
      <c r="G787" s="1052"/>
      <c r="H787" s="613">
        <v>30</v>
      </c>
      <c r="I787" s="613">
        <v>38</v>
      </c>
      <c r="J787" s="1031">
        <v>250</v>
      </c>
      <c r="K787" s="1032">
        <v>75</v>
      </c>
      <c r="L787" s="1251">
        <v>12</v>
      </c>
      <c r="M787" s="1232">
        <v>4000</v>
      </c>
      <c r="N787" s="1264">
        <v>0.1</v>
      </c>
      <c r="O787" s="815">
        <v>1.15</v>
      </c>
      <c r="P787" s="812">
        <v>78</v>
      </c>
      <c r="Q787" s="609">
        <v>0.067</v>
      </c>
      <c r="R787" s="610">
        <v>1607.8818</v>
      </c>
      <c r="S787" s="610">
        <v>126</v>
      </c>
      <c r="T787" s="1278">
        <v>3258</v>
      </c>
      <c r="U787" s="608">
        <v>14.757038333333334</v>
      </c>
      <c r="V787" s="613">
        <v>8.625</v>
      </c>
      <c r="W787" s="613">
        <v>8.26875</v>
      </c>
      <c r="X787" s="608">
        <v>1.8760000000000001</v>
      </c>
      <c r="Y787" s="827">
        <v>16.89375</v>
      </c>
      <c r="Z787" s="828">
        <v>32.918325</v>
      </c>
      <c r="AA787" s="869"/>
      <c r="AB787" s="830"/>
      <c r="AC787" s="940">
        <v>60</v>
      </c>
      <c r="AD787" s="830" t="s">
        <v>483</v>
      </c>
      <c r="AE787" s="830">
        <v>1</v>
      </c>
      <c r="AF787" s="803">
        <v>12073</v>
      </c>
    </row>
    <row r="788" spans="1:32" ht="14.25">
      <c r="A788" s="154">
        <v>12074</v>
      </c>
      <c r="B788" s="992"/>
      <c r="C788" s="992" t="s">
        <v>1469</v>
      </c>
      <c r="D788" s="202">
        <v>25</v>
      </c>
      <c r="E788" s="504">
        <v>41000</v>
      </c>
      <c r="F788" s="621">
        <v>40</v>
      </c>
      <c r="G788" s="1053"/>
      <c r="H788" s="506">
        <v>37</v>
      </c>
      <c r="I788" s="506">
        <v>47</v>
      </c>
      <c r="J788" s="764">
        <v>250</v>
      </c>
      <c r="K788" s="145">
        <v>75</v>
      </c>
      <c r="L788" s="492">
        <v>12</v>
      </c>
      <c r="M788" s="780">
        <v>4000</v>
      </c>
      <c r="N788" s="500">
        <v>0.1</v>
      </c>
      <c r="O788" s="788">
        <v>1.1</v>
      </c>
      <c r="P788" s="492">
        <v>78</v>
      </c>
      <c r="Q788" s="507">
        <v>0.02</v>
      </c>
      <c r="R788" s="201">
        <v>452.4</v>
      </c>
      <c r="S788" s="201">
        <v>77</v>
      </c>
      <c r="T788" s="1277">
        <v>4281</v>
      </c>
      <c r="U788" s="506">
        <v>4.498333333333333</v>
      </c>
      <c r="V788" s="506">
        <v>11.275</v>
      </c>
      <c r="W788" s="506">
        <v>8.26875</v>
      </c>
      <c r="X788" s="506">
        <v>0.56</v>
      </c>
      <c r="Y788" s="823">
        <v>19.543750000000003</v>
      </c>
      <c r="Z788" s="831">
        <v>40.334525</v>
      </c>
      <c r="AA788" s="866"/>
      <c r="AB788" s="826"/>
      <c r="AC788" s="939">
        <v>82</v>
      </c>
      <c r="AD788" s="826" t="s">
        <v>483</v>
      </c>
      <c r="AE788" s="826">
        <v>1</v>
      </c>
      <c r="AF788" s="804">
        <v>12074</v>
      </c>
    </row>
    <row r="789" spans="1:32" ht="14.25">
      <c r="A789" s="994">
        <v>12075</v>
      </c>
      <c r="B789" s="1000"/>
      <c r="C789" s="1000" t="s">
        <v>1470</v>
      </c>
      <c r="D789" s="1211">
        <v>4</v>
      </c>
      <c r="E789" s="1070">
        <v>8000</v>
      </c>
      <c r="F789" s="1136">
        <v>20</v>
      </c>
      <c r="G789" s="1212"/>
      <c r="H789" s="1073">
        <v>18</v>
      </c>
      <c r="I789" s="1073">
        <v>24</v>
      </c>
      <c r="J789" s="1074">
        <v>75</v>
      </c>
      <c r="K789" s="1075">
        <v>70</v>
      </c>
      <c r="L789" s="1254">
        <v>12</v>
      </c>
      <c r="M789" s="1255">
        <v>2500</v>
      </c>
      <c r="N789" s="1266">
        <v>0.25</v>
      </c>
      <c r="O789" s="815">
        <v>1.7</v>
      </c>
      <c r="P789" s="812">
        <v>11</v>
      </c>
      <c r="Q789" s="609">
        <v>0.05</v>
      </c>
      <c r="R789" s="610">
        <v>439.55</v>
      </c>
      <c r="S789" s="610">
        <v>49</v>
      </c>
      <c r="T789" s="1281">
        <v>799</v>
      </c>
      <c r="U789" s="608">
        <v>12.508750000000001</v>
      </c>
      <c r="V789" s="1073">
        <v>5.44</v>
      </c>
      <c r="W789" s="1073">
        <v>2.0300000000000002</v>
      </c>
      <c r="X789" s="608">
        <v>1.4000000000000001</v>
      </c>
      <c r="Y789" s="827">
        <v>7.470000000000001</v>
      </c>
      <c r="Z789" s="828">
        <v>19.93566666666667</v>
      </c>
      <c r="AA789" s="837"/>
      <c r="AB789" s="830"/>
      <c r="AC789" s="940">
        <v>16</v>
      </c>
      <c r="AD789" s="830" t="s">
        <v>483</v>
      </c>
      <c r="AE789" s="830">
        <v>2</v>
      </c>
      <c r="AF789" s="803">
        <v>12075</v>
      </c>
    </row>
    <row r="790" spans="1:32" ht="28.5">
      <c r="A790" s="154">
        <v>12076</v>
      </c>
      <c r="B790" s="992"/>
      <c r="C790" s="992" t="s">
        <v>1471</v>
      </c>
      <c r="D790" s="202">
        <v>25</v>
      </c>
      <c r="E790" s="504">
        <v>15000</v>
      </c>
      <c r="F790" s="621">
        <v>29</v>
      </c>
      <c r="G790" s="1053"/>
      <c r="H790" s="506">
        <v>27</v>
      </c>
      <c r="I790" s="506">
        <v>31</v>
      </c>
      <c r="J790" s="764">
        <v>250</v>
      </c>
      <c r="K790" s="145">
        <v>75</v>
      </c>
      <c r="L790" s="492">
        <v>12</v>
      </c>
      <c r="M790" s="780">
        <v>4000</v>
      </c>
      <c r="N790" s="500">
        <v>0.1</v>
      </c>
      <c r="O790" s="788">
        <v>1.35</v>
      </c>
      <c r="P790" s="492">
        <v>78</v>
      </c>
      <c r="Q790" s="507"/>
      <c r="R790" s="201" t="s">
        <v>413</v>
      </c>
      <c r="S790" s="201"/>
      <c r="T790" s="1277">
        <v>1863</v>
      </c>
      <c r="U790" s="506"/>
      <c r="V790" s="506">
        <v>5.0625</v>
      </c>
      <c r="W790" s="506">
        <v>13.59375</v>
      </c>
      <c r="X790" s="506"/>
      <c r="Y790" s="823">
        <v>18.65625</v>
      </c>
      <c r="Z790" s="831">
        <v>28.719075</v>
      </c>
      <c r="AA790" s="866"/>
      <c r="AB790" s="826"/>
      <c r="AC790" s="939">
        <v>30</v>
      </c>
      <c r="AD790" s="826" t="s">
        <v>483</v>
      </c>
      <c r="AE790" s="826">
        <v>2</v>
      </c>
      <c r="AF790" s="804">
        <v>12076</v>
      </c>
    </row>
    <row r="791" spans="1:32" ht="14.25">
      <c r="A791" s="994">
        <v>12072</v>
      </c>
      <c r="B791" s="1000"/>
      <c r="C791" s="1000" t="s">
        <v>857</v>
      </c>
      <c r="D791" s="1213" t="s">
        <v>347</v>
      </c>
      <c r="E791" s="1070">
        <v>5600</v>
      </c>
      <c r="F791" s="1136">
        <v>7.8</v>
      </c>
      <c r="G791" s="1214"/>
      <c r="H791" s="1073">
        <v>6.8</v>
      </c>
      <c r="I791" s="1073">
        <v>9.5</v>
      </c>
      <c r="J791" s="1074">
        <v>120</v>
      </c>
      <c r="K791" s="1075" t="s">
        <v>347</v>
      </c>
      <c r="L791" s="1254">
        <v>10</v>
      </c>
      <c r="M791" s="1255">
        <v>3000</v>
      </c>
      <c r="N791" s="1266">
        <v>0.25</v>
      </c>
      <c r="O791" s="815">
        <v>1.25</v>
      </c>
      <c r="P791" s="812">
        <v>7</v>
      </c>
      <c r="Q791" s="603"/>
      <c r="R791" s="605" t="s">
        <v>413</v>
      </c>
      <c r="S791" s="606"/>
      <c r="T791" s="1281">
        <v>571.2</v>
      </c>
      <c r="U791" s="604"/>
      <c r="V791" s="1073">
        <v>2.3333333333333335</v>
      </c>
      <c r="W791" s="1073"/>
      <c r="X791" s="604"/>
      <c r="Y791" s="827">
        <v>2.3333333333333335</v>
      </c>
      <c r="Z791" s="828">
        <v>7.802666666666668</v>
      </c>
      <c r="AA791" s="869"/>
      <c r="AB791" s="830"/>
      <c r="AC791" s="940">
        <v>11.200000000000001</v>
      </c>
      <c r="AD791" s="830" t="s">
        <v>483</v>
      </c>
      <c r="AE791" s="830">
        <v>0</v>
      </c>
      <c r="AF791" s="803">
        <v>12072</v>
      </c>
    </row>
    <row r="792" spans="1:32" ht="14.25">
      <c r="A792" s="496"/>
      <c r="B792" s="761"/>
      <c r="C792" s="496"/>
      <c r="D792" s="499"/>
      <c r="E792" s="504"/>
      <c r="F792" s="496"/>
      <c r="G792" s="495"/>
      <c r="H792" s="495"/>
      <c r="I792" s="495"/>
      <c r="J792" s="499"/>
      <c r="K792" s="495"/>
      <c r="L792" s="496"/>
      <c r="M792" s="499"/>
      <c r="N792" s="500" t="s">
        <v>413</v>
      </c>
      <c r="O792" s="788" t="s">
        <v>413</v>
      </c>
      <c r="P792" s="810"/>
      <c r="Q792" s="507"/>
      <c r="R792" s="201" t="s">
        <v>413</v>
      </c>
      <c r="S792" s="201"/>
      <c r="T792" s="1277" t="s">
        <v>413</v>
      </c>
      <c r="U792" s="506"/>
      <c r="V792" s="496"/>
      <c r="W792" s="496"/>
      <c r="X792" s="506"/>
      <c r="Y792" s="823" t="s">
        <v>413</v>
      </c>
      <c r="Z792" s="802"/>
      <c r="AA792" s="802"/>
      <c r="AB792" s="802"/>
      <c r="AC792" s="939" t="s">
        <v>413</v>
      </c>
      <c r="AD792" s="826" t="s">
        <v>413</v>
      </c>
      <c r="AE792" s="802"/>
      <c r="AF792" s="802"/>
    </row>
    <row r="793" spans="1:32" ht="14.25">
      <c r="A793" s="997"/>
      <c r="B793" s="998"/>
      <c r="C793" s="999" t="s">
        <v>1366</v>
      </c>
      <c r="D793" s="1106"/>
      <c r="E793" s="1058"/>
      <c r="F793" s="1059"/>
      <c r="G793" s="1190"/>
      <c r="H793" s="1061"/>
      <c r="I793" s="1061"/>
      <c r="J793" s="1062"/>
      <c r="K793" s="1063"/>
      <c r="L793" s="1253"/>
      <c r="M793" s="1062"/>
      <c r="N793" s="1265" t="s">
        <v>413</v>
      </c>
      <c r="O793" s="817" t="s">
        <v>413</v>
      </c>
      <c r="P793" s="813"/>
      <c r="Q793" s="609">
        <v>0.033333</v>
      </c>
      <c r="R793" s="610">
        <v>2044.5</v>
      </c>
      <c r="S793" s="610">
        <v>21</v>
      </c>
      <c r="T793" s="1280" t="s">
        <v>413</v>
      </c>
      <c r="U793" s="608">
        <v>16.9</v>
      </c>
      <c r="V793" s="1108"/>
      <c r="W793" s="1061"/>
      <c r="X793" s="608">
        <v>0.933324</v>
      </c>
      <c r="Y793" s="856" t="s">
        <v>413</v>
      </c>
      <c r="Z793" s="857"/>
      <c r="AA793" s="904"/>
      <c r="AB793" s="859"/>
      <c r="AC793" s="942" t="s">
        <v>413</v>
      </c>
      <c r="AD793" s="859" t="s">
        <v>413</v>
      </c>
      <c r="AE793" s="859"/>
      <c r="AF793" s="805"/>
    </row>
    <row r="794" spans="1:32" ht="14.25">
      <c r="A794" s="496"/>
      <c r="B794" s="761"/>
      <c r="C794" s="496"/>
      <c r="D794" s="510"/>
      <c r="E794" s="504"/>
      <c r="F794" s="509"/>
      <c r="G794" s="1053"/>
      <c r="H794" s="506"/>
      <c r="I794" s="506"/>
      <c r="J794" s="764"/>
      <c r="K794" s="495"/>
      <c r="L794" s="496"/>
      <c r="M794" s="764"/>
      <c r="N794" s="500" t="s">
        <v>413</v>
      </c>
      <c r="O794" s="788" t="s">
        <v>413</v>
      </c>
      <c r="P794" s="810"/>
      <c r="Q794" s="507">
        <v>0.04</v>
      </c>
      <c r="R794" s="201">
        <v>765.6</v>
      </c>
      <c r="S794" s="201">
        <v>70</v>
      </c>
      <c r="T794" s="1277" t="s">
        <v>413</v>
      </c>
      <c r="U794" s="506">
        <v>6.8256000000000006</v>
      </c>
      <c r="V794" s="511"/>
      <c r="W794" s="506"/>
      <c r="X794" s="506">
        <v>1.12</v>
      </c>
      <c r="Y794" s="823" t="s">
        <v>413</v>
      </c>
      <c r="Z794" s="831"/>
      <c r="AA794" s="866"/>
      <c r="AB794" s="802"/>
      <c r="AC794" s="939" t="s">
        <v>413</v>
      </c>
      <c r="AD794" s="826" t="s">
        <v>413</v>
      </c>
      <c r="AE794" s="826"/>
      <c r="AF794" s="802"/>
    </row>
    <row r="795" spans="1:32" ht="14.25">
      <c r="A795" s="987">
        <v>13000</v>
      </c>
      <c r="B795" s="988"/>
      <c r="C795" s="989" t="s">
        <v>858</v>
      </c>
      <c r="D795" s="1021"/>
      <c r="E795" s="1022"/>
      <c r="F795" s="1023"/>
      <c r="G795" s="1024"/>
      <c r="H795" s="1025"/>
      <c r="I795" s="1025"/>
      <c r="J795" s="1026"/>
      <c r="K795" s="1026"/>
      <c r="L795" s="1021"/>
      <c r="M795" s="1026"/>
      <c r="N795" s="1263" t="s">
        <v>413</v>
      </c>
      <c r="O795" s="816" t="s">
        <v>413</v>
      </c>
      <c r="P795" s="809"/>
      <c r="Q795" s="609">
        <v>0.04</v>
      </c>
      <c r="R795" s="610">
        <v>1435.5</v>
      </c>
      <c r="S795" s="610">
        <v>77</v>
      </c>
      <c r="T795" s="1276" t="s">
        <v>413</v>
      </c>
      <c r="U795" s="608">
        <v>8.831428571428571</v>
      </c>
      <c r="V795" s="1025"/>
      <c r="W795" s="1025"/>
      <c r="X795" s="608">
        <v>1.12</v>
      </c>
      <c r="Y795" s="833" t="s">
        <v>413</v>
      </c>
      <c r="Z795" s="820"/>
      <c r="AA795" s="821"/>
      <c r="AB795" s="822"/>
      <c r="AC795" s="938" t="s">
        <v>413</v>
      </c>
      <c r="AD795" s="822" t="s">
        <v>413</v>
      </c>
      <c r="AE795" s="822"/>
      <c r="AF795" s="801">
        <v>13000</v>
      </c>
    </row>
    <row r="796" spans="1:32" ht="14.25">
      <c r="A796" s="496"/>
      <c r="B796" s="761"/>
      <c r="C796" s="496"/>
      <c r="D796" s="503"/>
      <c r="E796" s="504"/>
      <c r="F796" s="505"/>
      <c r="G796" s="495"/>
      <c r="H796" s="506"/>
      <c r="I796" s="506"/>
      <c r="J796" s="764"/>
      <c r="K796" s="495"/>
      <c r="L796" s="496"/>
      <c r="M796" s="764"/>
      <c r="N796" s="500" t="s">
        <v>413</v>
      </c>
      <c r="O796" s="788" t="s">
        <v>413</v>
      </c>
      <c r="P796" s="810"/>
      <c r="Q796" s="507">
        <v>0.03333</v>
      </c>
      <c r="R796" s="201">
        <v>2871</v>
      </c>
      <c r="S796" s="201">
        <v>98</v>
      </c>
      <c r="T796" s="1277" t="s">
        <v>413</v>
      </c>
      <c r="U796" s="506">
        <v>17.34285714285714</v>
      </c>
      <c r="V796" s="506"/>
      <c r="W796" s="506"/>
      <c r="X796" s="506">
        <v>0.93324</v>
      </c>
      <c r="Y796" s="823" t="s">
        <v>413</v>
      </c>
      <c r="Z796" s="831"/>
      <c r="AA796" s="850"/>
      <c r="AB796" s="802"/>
      <c r="AC796" s="939" t="s">
        <v>413</v>
      </c>
      <c r="AD796" s="826" t="s">
        <v>413</v>
      </c>
      <c r="AE796" s="826"/>
      <c r="AF796" s="802"/>
    </row>
    <row r="797" spans="1:32" ht="28.5">
      <c r="A797" s="990">
        <v>13001</v>
      </c>
      <c r="B797" s="991"/>
      <c r="C797" s="991" t="s">
        <v>1045</v>
      </c>
      <c r="D797" s="1040">
        <v>80</v>
      </c>
      <c r="E797" s="1028">
        <v>9500</v>
      </c>
      <c r="F797" s="1041">
        <v>23</v>
      </c>
      <c r="G797" s="1067">
        <v>29</v>
      </c>
      <c r="H797" s="1111">
        <v>26</v>
      </c>
      <c r="I797" s="620">
        <v>35</v>
      </c>
      <c r="J797" s="1043">
        <v>60</v>
      </c>
      <c r="K797" s="1032" t="s">
        <v>347</v>
      </c>
      <c r="L797" s="1251">
        <v>12</v>
      </c>
      <c r="M797" s="1043">
        <v>1000</v>
      </c>
      <c r="N797" s="1264">
        <v>0.1</v>
      </c>
      <c r="O797" s="815">
        <v>1.05</v>
      </c>
      <c r="P797" s="812">
        <v>19</v>
      </c>
      <c r="Q797" s="609">
        <v>0.02</v>
      </c>
      <c r="R797" s="610">
        <v>506.47999999999996</v>
      </c>
      <c r="S797" s="610">
        <v>7</v>
      </c>
      <c r="T797" s="1278">
        <v>997.5</v>
      </c>
      <c r="U797" s="608">
        <v>2.9936</v>
      </c>
      <c r="V797" s="620">
        <v>9.975</v>
      </c>
      <c r="W797" s="613"/>
      <c r="X797" s="608">
        <v>0.56</v>
      </c>
      <c r="Y797" s="846">
        <v>9.975</v>
      </c>
      <c r="Z797" s="828">
        <v>23.408</v>
      </c>
      <c r="AA797" s="838">
        <v>29.260000000000005</v>
      </c>
      <c r="AB797" s="830"/>
      <c r="AC797" s="940">
        <v>19</v>
      </c>
      <c r="AD797" s="830" t="s">
        <v>484</v>
      </c>
      <c r="AE797" s="830">
        <v>0</v>
      </c>
      <c r="AF797" s="803">
        <v>13001</v>
      </c>
    </row>
    <row r="798" spans="1:32" ht="28.5">
      <c r="A798" s="154">
        <v>13002</v>
      </c>
      <c r="B798" s="992"/>
      <c r="C798" s="992" t="s">
        <v>1046</v>
      </c>
      <c r="D798" s="510">
        <v>50</v>
      </c>
      <c r="E798" s="504">
        <v>11000</v>
      </c>
      <c r="F798" s="509">
        <v>17</v>
      </c>
      <c r="G798" s="1068">
        <v>34</v>
      </c>
      <c r="H798" s="522">
        <v>30</v>
      </c>
      <c r="I798" s="511">
        <v>42</v>
      </c>
      <c r="J798" s="766">
        <v>60</v>
      </c>
      <c r="K798" s="145" t="s">
        <v>347</v>
      </c>
      <c r="L798" s="492">
        <v>12</v>
      </c>
      <c r="M798" s="766">
        <v>1000</v>
      </c>
      <c r="N798" s="500">
        <v>0.1</v>
      </c>
      <c r="O798" s="788">
        <v>1.05</v>
      </c>
      <c r="P798" s="492">
        <v>27</v>
      </c>
      <c r="Q798" s="507">
        <v>0.02</v>
      </c>
      <c r="R798" s="201">
        <v>876.6</v>
      </c>
      <c r="S798" s="201">
        <v>7</v>
      </c>
      <c r="T798" s="1277">
        <v>1185</v>
      </c>
      <c r="U798" s="506">
        <v>5.152</v>
      </c>
      <c r="V798" s="511">
        <v>11.55</v>
      </c>
      <c r="W798" s="506"/>
      <c r="X798" s="506">
        <v>0.56</v>
      </c>
      <c r="Y798" s="848">
        <v>11.55</v>
      </c>
      <c r="Z798" s="831">
        <v>17.215000000000003</v>
      </c>
      <c r="AA798" s="861">
        <v>34.43000000000001</v>
      </c>
      <c r="AB798" s="826"/>
      <c r="AC798" s="939">
        <v>22</v>
      </c>
      <c r="AD798" s="826" t="s">
        <v>484</v>
      </c>
      <c r="AE798" s="826">
        <v>0</v>
      </c>
      <c r="AF798" s="804">
        <v>13002</v>
      </c>
    </row>
    <row r="799" spans="1:32" ht="28.5">
      <c r="A799" s="990">
        <v>13003</v>
      </c>
      <c r="B799" s="991"/>
      <c r="C799" s="991" t="s">
        <v>1047</v>
      </c>
      <c r="D799" s="1040">
        <v>80</v>
      </c>
      <c r="E799" s="1028">
        <v>12500</v>
      </c>
      <c r="F799" s="1041">
        <v>30</v>
      </c>
      <c r="G799" s="1067">
        <v>38</v>
      </c>
      <c r="H799" s="1111">
        <v>33</v>
      </c>
      <c r="I799" s="620">
        <v>46</v>
      </c>
      <c r="J799" s="1043">
        <v>60</v>
      </c>
      <c r="K799" s="1032" t="s">
        <v>347</v>
      </c>
      <c r="L799" s="1251">
        <v>12</v>
      </c>
      <c r="M799" s="1043">
        <v>1000</v>
      </c>
      <c r="N799" s="1264">
        <v>0.1</v>
      </c>
      <c r="O799" s="815">
        <v>1</v>
      </c>
      <c r="P799" s="812">
        <v>27</v>
      </c>
      <c r="Q799" s="609">
        <v>0.03333</v>
      </c>
      <c r="R799" s="610">
        <v>6960</v>
      </c>
      <c r="S799" s="610">
        <v>133</v>
      </c>
      <c r="T799" s="1278">
        <v>1324.5</v>
      </c>
      <c r="U799" s="608">
        <v>24.176666666666666</v>
      </c>
      <c r="V799" s="620">
        <v>12.5</v>
      </c>
      <c r="W799" s="613"/>
      <c r="X799" s="608">
        <v>0.93324</v>
      </c>
      <c r="Y799" s="846">
        <v>12.5</v>
      </c>
      <c r="Z799" s="828">
        <v>30.426000000000002</v>
      </c>
      <c r="AA799" s="838">
        <v>38.032500000000006</v>
      </c>
      <c r="AB799" s="830"/>
      <c r="AC799" s="940">
        <v>25</v>
      </c>
      <c r="AD799" s="830" t="s">
        <v>484</v>
      </c>
      <c r="AE799" s="830">
        <v>0</v>
      </c>
      <c r="AF799" s="803">
        <v>13003</v>
      </c>
    </row>
    <row r="800" spans="1:32" ht="28.5">
      <c r="A800" s="154">
        <v>13004</v>
      </c>
      <c r="B800" s="992"/>
      <c r="C800" s="992" t="s">
        <v>1540</v>
      </c>
      <c r="D800" s="510">
        <v>100</v>
      </c>
      <c r="E800" s="504">
        <v>7000</v>
      </c>
      <c r="F800" s="509">
        <v>41</v>
      </c>
      <c r="G800" s="1068">
        <v>41</v>
      </c>
      <c r="H800" s="522">
        <v>35</v>
      </c>
      <c r="I800" s="511">
        <v>51</v>
      </c>
      <c r="J800" s="766">
        <v>25</v>
      </c>
      <c r="K800" s="145" t="s">
        <v>347</v>
      </c>
      <c r="L800" s="492">
        <v>12</v>
      </c>
      <c r="M800" s="766">
        <v>800</v>
      </c>
      <c r="N800" s="500">
        <v>0.25</v>
      </c>
      <c r="O800" s="788">
        <v>1.1</v>
      </c>
      <c r="P800" s="492">
        <v>19</v>
      </c>
      <c r="Q800" s="507">
        <v>0.03333</v>
      </c>
      <c r="R800" s="201">
        <v>10616.6</v>
      </c>
      <c r="S800" s="201">
        <v>126</v>
      </c>
      <c r="T800" s="1277">
        <v>688</v>
      </c>
      <c r="U800" s="506">
        <v>27.401500000000002</v>
      </c>
      <c r="V800" s="511">
        <v>9.625</v>
      </c>
      <c r="W800" s="506"/>
      <c r="X800" s="506">
        <v>0.93324</v>
      </c>
      <c r="Y800" s="848">
        <v>9.625</v>
      </c>
      <c r="Z800" s="831">
        <v>40.8595</v>
      </c>
      <c r="AA800" s="861">
        <v>40.8595</v>
      </c>
      <c r="AB800" s="826"/>
      <c r="AC800" s="939">
        <v>14</v>
      </c>
      <c r="AD800" s="826" t="s">
        <v>484</v>
      </c>
      <c r="AE800" s="826">
        <v>0</v>
      </c>
      <c r="AF800" s="804">
        <v>13004</v>
      </c>
    </row>
    <row r="801" spans="1:32" ht="28.5">
      <c r="A801" s="990">
        <v>13005</v>
      </c>
      <c r="B801" s="991"/>
      <c r="C801" s="991" t="s">
        <v>1541</v>
      </c>
      <c r="D801" s="1040">
        <v>50</v>
      </c>
      <c r="E801" s="1028">
        <v>9000</v>
      </c>
      <c r="F801" s="1041">
        <v>26</v>
      </c>
      <c r="G801" s="1067">
        <v>51</v>
      </c>
      <c r="H801" s="620">
        <v>43</v>
      </c>
      <c r="I801" s="620">
        <v>64</v>
      </c>
      <c r="J801" s="1043">
        <v>25</v>
      </c>
      <c r="K801" s="1032" t="s">
        <v>347</v>
      </c>
      <c r="L801" s="1251">
        <v>12</v>
      </c>
      <c r="M801" s="1043">
        <v>800</v>
      </c>
      <c r="N801" s="1264">
        <v>0.25</v>
      </c>
      <c r="O801" s="815">
        <v>1</v>
      </c>
      <c r="P801" s="812">
        <v>24</v>
      </c>
      <c r="Q801" s="609">
        <v>0.03333</v>
      </c>
      <c r="R801" s="610">
        <v>17142.4</v>
      </c>
      <c r="S801" s="610">
        <v>245</v>
      </c>
      <c r="T801" s="1278">
        <v>882</v>
      </c>
      <c r="U801" s="608">
        <v>44.3485</v>
      </c>
      <c r="V801" s="620">
        <v>11.25</v>
      </c>
      <c r="W801" s="613"/>
      <c r="X801" s="608">
        <v>0.93324</v>
      </c>
      <c r="Y801" s="846">
        <v>11.25</v>
      </c>
      <c r="Z801" s="828">
        <v>25.591500000000007</v>
      </c>
      <c r="AA801" s="838">
        <v>51.18300000000001</v>
      </c>
      <c r="AB801" s="830"/>
      <c r="AC801" s="940">
        <v>18</v>
      </c>
      <c r="AD801" s="830" t="s">
        <v>484</v>
      </c>
      <c r="AE801" s="830">
        <v>0</v>
      </c>
      <c r="AF801" s="803">
        <v>13005</v>
      </c>
    </row>
    <row r="802" spans="1:32" ht="14.25">
      <c r="A802" s="154">
        <v>13006</v>
      </c>
      <c r="B802" s="992"/>
      <c r="C802" s="992" t="s">
        <v>1229</v>
      </c>
      <c r="D802" s="510">
        <v>50</v>
      </c>
      <c r="E802" s="504">
        <v>3000</v>
      </c>
      <c r="F802" s="509">
        <v>11.5</v>
      </c>
      <c r="G802" s="1068">
        <v>23</v>
      </c>
      <c r="H802" s="511">
        <v>20</v>
      </c>
      <c r="I802" s="511">
        <v>29</v>
      </c>
      <c r="J802" s="766">
        <v>25</v>
      </c>
      <c r="K802" s="145" t="s">
        <v>347</v>
      </c>
      <c r="L802" s="492">
        <v>12</v>
      </c>
      <c r="M802" s="766">
        <v>800</v>
      </c>
      <c r="N802" s="500">
        <v>0.25</v>
      </c>
      <c r="O802" s="788">
        <v>1.5</v>
      </c>
      <c r="P802" s="492">
        <v>23</v>
      </c>
      <c r="Q802" s="507">
        <v>0.05</v>
      </c>
      <c r="R802" s="201">
        <v>374.1</v>
      </c>
      <c r="S802" s="211">
        <v>140</v>
      </c>
      <c r="T802" s="1277">
        <v>384</v>
      </c>
      <c r="U802" s="516">
        <v>6.969333333333334</v>
      </c>
      <c r="V802" s="511">
        <v>5.625</v>
      </c>
      <c r="W802" s="506"/>
      <c r="X802" s="516">
        <v>1.4000000000000001</v>
      </c>
      <c r="Y802" s="848">
        <v>5.625</v>
      </c>
      <c r="Z802" s="831">
        <v>11.54175</v>
      </c>
      <c r="AA802" s="861">
        <v>23.0835</v>
      </c>
      <c r="AB802" s="826"/>
      <c r="AC802" s="939">
        <v>6</v>
      </c>
      <c r="AD802" s="826" t="s">
        <v>484</v>
      </c>
      <c r="AE802" s="826">
        <v>0</v>
      </c>
      <c r="AF802" s="804">
        <v>13006</v>
      </c>
    </row>
    <row r="803" spans="1:32" ht="28.5">
      <c r="A803" s="990">
        <v>13007</v>
      </c>
      <c r="B803" s="991"/>
      <c r="C803" s="991" t="s">
        <v>1230</v>
      </c>
      <c r="D803" s="1040">
        <v>20</v>
      </c>
      <c r="E803" s="1028">
        <v>24000</v>
      </c>
      <c r="F803" s="1041">
        <v>32</v>
      </c>
      <c r="G803" s="1067">
        <v>160</v>
      </c>
      <c r="H803" s="1111">
        <v>140</v>
      </c>
      <c r="I803" s="620">
        <v>210</v>
      </c>
      <c r="J803" s="1043">
        <v>20</v>
      </c>
      <c r="K803" s="1032" t="s">
        <v>347</v>
      </c>
      <c r="L803" s="1251">
        <v>10</v>
      </c>
      <c r="M803" s="1043">
        <v>800</v>
      </c>
      <c r="N803" s="1264">
        <v>0.25</v>
      </c>
      <c r="O803" s="815">
        <v>0.85</v>
      </c>
      <c r="P803" s="812">
        <v>29</v>
      </c>
      <c r="Q803" s="609">
        <v>0.02</v>
      </c>
      <c r="R803" s="610">
        <v>320.35</v>
      </c>
      <c r="S803" s="610">
        <v>49</v>
      </c>
      <c r="T803" s="1278">
        <v>2442</v>
      </c>
      <c r="U803" s="608">
        <v>7.559000000000001</v>
      </c>
      <c r="V803" s="620">
        <v>25.5</v>
      </c>
      <c r="W803" s="613"/>
      <c r="X803" s="608">
        <v>0.56</v>
      </c>
      <c r="Y803" s="846">
        <v>25.5</v>
      </c>
      <c r="Z803" s="828">
        <v>32.472</v>
      </c>
      <c r="AA803" s="838">
        <v>162.36</v>
      </c>
      <c r="AB803" s="830"/>
      <c r="AC803" s="940">
        <v>48</v>
      </c>
      <c r="AD803" s="830" t="s">
        <v>484</v>
      </c>
      <c r="AE803" s="830">
        <v>0</v>
      </c>
      <c r="AF803" s="803">
        <v>13007</v>
      </c>
    </row>
    <row r="804" spans="1:32" ht="28.5">
      <c r="A804" s="154">
        <v>13008</v>
      </c>
      <c r="B804" s="992"/>
      <c r="C804" s="992" t="s">
        <v>1231</v>
      </c>
      <c r="D804" s="510">
        <v>40</v>
      </c>
      <c r="E804" s="504">
        <v>33000</v>
      </c>
      <c r="F804" s="509">
        <v>49</v>
      </c>
      <c r="G804" s="1068">
        <v>120</v>
      </c>
      <c r="H804" s="511">
        <v>100</v>
      </c>
      <c r="I804" s="511">
        <v>150</v>
      </c>
      <c r="J804" s="766">
        <v>40</v>
      </c>
      <c r="K804" s="145" t="s">
        <v>347</v>
      </c>
      <c r="L804" s="492">
        <v>10</v>
      </c>
      <c r="M804" s="782">
        <v>1000</v>
      </c>
      <c r="N804" s="500">
        <v>0.25</v>
      </c>
      <c r="O804" s="788">
        <v>0.85</v>
      </c>
      <c r="P804" s="492">
        <v>33</v>
      </c>
      <c r="Q804" s="507">
        <v>0.03333</v>
      </c>
      <c r="R804" s="201">
        <v>4842.5</v>
      </c>
      <c r="S804" s="201">
        <v>469</v>
      </c>
      <c r="T804" s="1277">
        <v>3316.5</v>
      </c>
      <c r="U804" s="506">
        <v>27.2075</v>
      </c>
      <c r="V804" s="511">
        <v>28.05</v>
      </c>
      <c r="W804" s="506"/>
      <c r="X804" s="506">
        <v>0.93324</v>
      </c>
      <c r="Y804" s="848">
        <v>28.05</v>
      </c>
      <c r="Z804" s="831">
        <v>48.8235</v>
      </c>
      <c r="AA804" s="861">
        <v>122.05875</v>
      </c>
      <c r="AB804" s="826"/>
      <c r="AC804" s="939">
        <v>66</v>
      </c>
      <c r="AD804" s="826" t="s">
        <v>484</v>
      </c>
      <c r="AE804" s="826">
        <v>0</v>
      </c>
      <c r="AF804" s="804">
        <v>13008</v>
      </c>
    </row>
    <row r="805" spans="1:32" ht="28.5">
      <c r="A805" s="990">
        <v>13009</v>
      </c>
      <c r="B805" s="991"/>
      <c r="C805" s="991" t="s">
        <v>1232</v>
      </c>
      <c r="D805" s="1040">
        <v>50</v>
      </c>
      <c r="E805" s="1028">
        <v>7000</v>
      </c>
      <c r="F805" s="1041">
        <v>22</v>
      </c>
      <c r="G805" s="1067">
        <v>43</v>
      </c>
      <c r="H805" s="620">
        <v>38</v>
      </c>
      <c r="I805" s="620">
        <v>52</v>
      </c>
      <c r="J805" s="1043">
        <v>35</v>
      </c>
      <c r="K805" s="1032" t="s">
        <v>347</v>
      </c>
      <c r="L805" s="1251">
        <v>10</v>
      </c>
      <c r="M805" s="1043">
        <v>1000</v>
      </c>
      <c r="N805" s="1264">
        <v>0.25</v>
      </c>
      <c r="O805" s="815">
        <v>2.2</v>
      </c>
      <c r="P805" s="812">
        <v>29</v>
      </c>
      <c r="Q805" s="507"/>
      <c r="R805" s="201" t="s">
        <v>413</v>
      </c>
      <c r="S805" s="201"/>
      <c r="T805" s="1278">
        <v>835.5</v>
      </c>
      <c r="U805" s="506"/>
      <c r="V805" s="620">
        <v>15.400000000000002</v>
      </c>
      <c r="W805" s="613"/>
      <c r="X805" s="506"/>
      <c r="Y805" s="846">
        <v>15.400000000000002</v>
      </c>
      <c r="Z805" s="828">
        <v>21.599285714285717</v>
      </c>
      <c r="AA805" s="838">
        <v>43.198571428571434</v>
      </c>
      <c r="AB805" s="830"/>
      <c r="AC805" s="940">
        <v>14</v>
      </c>
      <c r="AD805" s="830" t="s">
        <v>484</v>
      </c>
      <c r="AE805" s="830">
        <v>0</v>
      </c>
      <c r="AF805" s="803">
        <v>13009</v>
      </c>
    </row>
    <row r="806" spans="1:32" ht="14.25">
      <c r="A806" s="154">
        <v>13010</v>
      </c>
      <c r="B806" s="992"/>
      <c r="C806" s="992" t="s">
        <v>1233</v>
      </c>
      <c r="D806" s="510">
        <v>50</v>
      </c>
      <c r="E806" s="504">
        <v>12500</v>
      </c>
      <c r="F806" s="509">
        <v>30</v>
      </c>
      <c r="G806" s="1068">
        <v>59</v>
      </c>
      <c r="H806" s="511">
        <v>49</v>
      </c>
      <c r="I806" s="511">
        <v>75</v>
      </c>
      <c r="J806" s="766">
        <v>25</v>
      </c>
      <c r="K806" s="145" t="s">
        <v>347</v>
      </c>
      <c r="L806" s="492">
        <v>12</v>
      </c>
      <c r="M806" s="766">
        <v>800</v>
      </c>
      <c r="N806" s="500">
        <v>0.25</v>
      </c>
      <c r="O806" s="788">
        <v>0.55</v>
      </c>
      <c r="P806" s="492">
        <v>16</v>
      </c>
      <c r="Q806" s="603"/>
      <c r="R806" s="605" t="s">
        <v>413</v>
      </c>
      <c r="S806" s="606"/>
      <c r="T806" s="1277">
        <v>1121</v>
      </c>
      <c r="U806" s="604"/>
      <c r="V806" s="511">
        <v>8.59375</v>
      </c>
      <c r="W806" s="506"/>
      <c r="X806" s="604"/>
      <c r="Y806" s="848">
        <v>8.59375</v>
      </c>
      <c r="Z806" s="831">
        <v>29.388562500000003</v>
      </c>
      <c r="AA806" s="861">
        <v>58.777125000000005</v>
      </c>
      <c r="AB806" s="826"/>
      <c r="AC806" s="939">
        <v>25</v>
      </c>
      <c r="AD806" s="826" t="s">
        <v>484</v>
      </c>
      <c r="AE806" s="826">
        <v>0</v>
      </c>
      <c r="AF806" s="804">
        <v>13010</v>
      </c>
    </row>
    <row r="807" spans="1:32" ht="14.25">
      <c r="A807" s="990">
        <v>13011</v>
      </c>
      <c r="B807" s="991"/>
      <c r="C807" s="991" t="s">
        <v>1234</v>
      </c>
      <c r="D807" s="1110" t="s">
        <v>347</v>
      </c>
      <c r="E807" s="1028">
        <v>3500</v>
      </c>
      <c r="F807" s="1041"/>
      <c r="G807" s="1215">
        <v>0.04</v>
      </c>
      <c r="H807" s="647"/>
      <c r="I807" s="647"/>
      <c r="J807" s="1216">
        <v>15000</v>
      </c>
      <c r="K807" s="1032" t="s">
        <v>347</v>
      </c>
      <c r="L807" s="1251">
        <v>12</v>
      </c>
      <c r="M807" s="1216">
        <v>250000</v>
      </c>
      <c r="N807" s="1264">
        <v>0.1</v>
      </c>
      <c r="O807" s="815">
        <v>0.4</v>
      </c>
      <c r="P807" s="812">
        <v>14</v>
      </c>
      <c r="Q807" s="507"/>
      <c r="R807" s="201" t="s">
        <v>413</v>
      </c>
      <c r="S807" s="201"/>
      <c r="T807" s="1278">
        <v>409.5</v>
      </c>
      <c r="U807" s="506"/>
      <c r="V807" s="1287">
        <v>0.005600000000000001</v>
      </c>
      <c r="W807" s="613"/>
      <c r="X807" s="506"/>
      <c r="Y807" s="969">
        <v>0.005600000000000001</v>
      </c>
      <c r="Z807" s="828"/>
      <c r="AA807" s="917">
        <v>0.03619</v>
      </c>
      <c r="AB807" s="830"/>
      <c r="AC807" s="940">
        <v>7</v>
      </c>
      <c r="AD807" s="830" t="s">
        <v>1074</v>
      </c>
      <c r="AE807" s="830">
        <v>0</v>
      </c>
      <c r="AF807" s="803">
        <v>13011</v>
      </c>
    </row>
    <row r="808" spans="1:32" ht="14.25">
      <c r="A808" s="496"/>
      <c r="B808" s="761"/>
      <c r="C808" s="496"/>
      <c r="D808" s="510"/>
      <c r="E808" s="504"/>
      <c r="F808" s="509"/>
      <c r="G808" s="1065"/>
      <c r="H808" s="511"/>
      <c r="I808" s="511"/>
      <c r="J808" s="766"/>
      <c r="K808" s="495"/>
      <c r="L808" s="496"/>
      <c r="M808" s="766"/>
      <c r="N808" s="500" t="s">
        <v>413</v>
      </c>
      <c r="O808" s="788" t="s">
        <v>413</v>
      </c>
      <c r="P808" s="810"/>
      <c r="Q808" s="609">
        <v>0.1</v>
      </c>
      <c r="R808" s="610">
        <v>2523</v>
      </c>
      <c r="S808" s="610">
        <v>168</v>
      </c>
      <c r="T808" s="1277" t="s">
        <v>413</v>
      </c>
      <c r="U808" s="608">
        <v>22.908333333333335</v>
      </c>
      <c r="V808" s="511"/>
      <c r="W808" s="506"/>
      <c r="X808" s="608">
        <v>2.8000000000000003</v>
      </c>
      <c r="Y808" s="823" t="s">
        <v>413</v>
      </c>
      <c r="Z808" s="831"/>
      <c r="AA808" s="861"/>
      <c r="AB808" s="802"/>
      <c r="AC808" s="939" t="s">
        <v>413</v>
      </c>
      <c r="AD808" s="826" t="s">
        <v>413</v>
      </c>
      <c r="AE808" s="826"/>
      <c r="AF808" s="802"/>
    </row>
    <row r="809" spans="1:32" ht="14.25">
      <c r="A809" s="987">
        <v>13020</v>
      </c>
      <c r="B809" s="988" t="s">
        <v>1501</v>
      </c>
      <c r="C809" s="989" t="s">
        <v>859</v>
      </c>
      <c r="D809" s="1021"/>
      <c r="E809" s="1022"/>
      <c r="F809" s="1023"/>
      <c r="G809" s="1024"/>
      <c r="H809" s="1025"/>
      <c r="I809" s="1025"/>
      <c r="J809" s="1026"/>
      <c r="K809" s="1026"/>
      <c r="L809" s="1021"/>
      <c r="M809" s="1026"/>
      <c r="N809" s="1263" t="s">
        <v>413</v>
      </c>
      <c r="O809" s="816" t="s">
        <v>413</v>
      </c>
      <c r="P809" s="809"/>
      <c r="Q809" s="507">
        <v>0.1</v>
      </c>
      <c r="R809" s="201">
        <v>2871</v>
      </c>
      <c r="S809" s="201">
        <v>168</v>
      </c>
      <c r="T809" s="1276" t="s">
        <v>413</v>
      </c>
      <c r="U809" s="506">
        <v>25.875</v>
      </c>
      <c r="V809" s="1025"/>
      <c r="W809" s="1025"/>
      <c r="X809" s="506">
        <v>2.8000000000000003</v>
      </c>
      <c r="Y809" s="833" t="s">
        <v>413</v>
      </c>
      <c r="Z809" s="820"/>
      <c r="AA809" s="821"/>
      <c r="AB809" s="822"/>
      <c r="AC809" s="938" t="s">
        <v>413</v>
      </c>
      <c r="AD809" s="822" t="s">
        <v>413</v>
      </c>
      <c r="AE809" s="822"/>
      <c r="AF809" s="801">
        <v>13020</v>
      </c>
    </row>
    <row r="810" spans="1:32" ht="14.25">
      <c r="A810" s="496"/>
      <c r="B810" s="761"/>
      <c r="C810" s="496"/>
      <c r="D810" s="510"/>
      <c r="E810" s="504"/>
      <c r="F810" s="509"/>
      <c r="G810" s="1065"/>
      <c r="H810" s="511"/>
      <c r="I810" s="511"/>
      <c r="J810" s="766"/>
      <c r="K810" s="495"/>
      <c r="L810" s="496"/>
      <c r="M810" s="766"/>
      <c r="N810" s="500" t="s">
        <v>413</v>
      </c>
      <c r="O810" s="788" t="s">
        <v>413</v>
      </c>
      <c r="P810" s="810"/>
      <c r="Q810" s="609">
        <v>0.05</v>
      </c>
      <c r="R810" s="610">
        <v>6090</v>
      </c>
      <c r="S810" s="610">
        <v>343</v>
      </c>
      <c r="T810" s="1277" t="s">
        <v>413</v>
      </c>
      <c r="U810" s="608">
        <v>37.56</v>
      </c>
      <c r="V810" s="511"/>
      <c r="W810" s="506"/>
      <c r="X810" s="608">
        <v>1.4000000000000001</v>
      </c>
      <c r="Y810" s="823" t="s">
        <v>413</v>
      </c>
      <c r="Z810" s="831"/>
      <c r="AA810" s="861"/>
      <c r="AB810" s="802"/>
      <c r="AC810" s="939" t="s">
        <v>413</v>
      </c>
      <c r="AD810" s="826" t="s">
        <v>413</v>
      </c>
      <c r="AE810" s="826"/>
      <c r="AF810" s="802"/>
    </row>
    <row r="811" spans="1:32" ht="14.25">
      <c r="A811" s="990">
        <v>13021</v>
      </c>
      <c r="B811" s="991" t="s">
        <v>1501</v>
      </c>
      <c r="C811" s="991" t="s">
        <v>860</v>
      </c>
      <c r="D811" s="1040"/>
      <c r="E811" s="1028">
        <v>14000</v>
      </c>
      <c r="F811" s="1041"/>
      <c r="G811" s="1067">
        <v>49</v>
      </c>
      <c r="H811" s="620">
        <v>42</v>
      </c>
      <c r="I811" s="620">
        <v>62</v>
      </c>
      <c r="J811" s="1043">
        <v>40</v>
      </c>
      <c r="K811" s="1032" t="s">
        <v>347</v>
      </c>
      <c r="L811" s="1251">
        <v>12</v>
      </c>
      <c r="M811" s="1043">
        <v>800</v>
      </c>
      <c r="N811" s="1264">
        <v>0.1</v>
      </c>
      <c r="O811" s="815">
        <v>0.6</v>
      </c>
      <c r="P811" s="812">
        <v>11</v>
      </c>
      <c r="Q811" s="507"/>
      <c r="R811" s="201" t="s">
        <v>413</v>
      </c>
      <c r="S811" s="201"/>
      <c r="T811" s="1278">
        <v>1368</v>
      </c>
      <c r="U811" s="506"/>
      <c r="V811" s="620">
        <v>10.5</v>
      </c>
      <c r="W811" s="613"/>
      <c r="X811" s="506"/>
      <c r="Y811" s="846">
        <v>10.5</v>
      </c>
      <c r="Z811" s="828"/>
      <c r="AA811" s="838">
        <v>49.17000000000001</v>
      </c>
      <c r="AB811" s="830"/>
      <c r="AC811" s="940">
        <v>28</v>
      </c>
      <c r="AD811" s="830" t="s">
        <v>484</v>
      </c>
      <c r="AE811" s="830">
        <v>0</v>
      </c>
      <c r="AF811" s="803">
        <v>13021</v>
      </c>
    </row>
    <row r="812" spans="1:32" ht="14.25">
      <c r="A812" s="154">
        <v>13022</v>
      </c>
      <c r="B812" s="992" t="s">
        <v>1501</v>
      </c>
      <c r="C812" s="992" t="s">
        <v>861</v>
      </c>
      <c r="D812" s="510"/>
      <c r="E812" s="504">
        <v>22000</v>
      </c>
      <c r="F812" s="509"/>
      <c r="G812" s="1068">
        <v>43</v>
      </c>
      <c r="H812" s="511">
        <v>37</v>
      </c>
      <c r="I812" s="511">
        <v>53</v>
      </c>
      <c r="J812" s="766">
        <v>70</v>
      </c>
      <c r="K812" s="145" t="s">
        <v>347</v>
      </c>
      <c r="L812" s="492">
        <v>12</v>
      </c>
      <c r="M812" s="782">
        <v>1500</v>
      </c>
      <c r="N812" s="500">
        <v>0.25</v>
      </c>
      <c r="O812" s="788">
        <v>0.7</v>
      </c>
      <c r="P812" s="492">
        <v>34</v>
      </c>
      <c r="Q812" s="603"/>
      <c r="R812" s="605" t="s">
        <v>413</v>
      </c>
      <c r="S812" s="606"/>
      <c r="T812" s="1277">
        <v>2008</v>
      </c>
      <c r="U812" s="604"/>
      <c r="V812" s="511">
        <v>10.266666666666666</v>
      </c>
      <c r="W812" s="506"/>
      <c r="X812" s="604"/>
      <c r="Y812" s="848">
        <v>10.266666666666666</v>
      </c>
      <c r="Z812" s="831"/>
      <c r="AA812" s="861">
        <v>42.84761904761905</v>
      </c>
      <c r="AB812" s="826"/>
      <c r="AC812" s="939">
        <v>44</v>
      </c>
      <c r="AD812" s="826" t="s">
        <v>484</v>
      </c>
      <c r="AE812" s="826">
        <v>0</v>
      </c>
      <c r="AF812" s="804">
        <v>13022</v>
      </c>
    </row>
    <row r="813" spans="1:32" ht="14.25">
      <c r="A813" s="990">
        <v>13023</v>
      </c>
      <c r="B813" s="1012" t="s">
        <v>1501</v>
      </c>
      <c r="C813" s="991" t="s">
        <v>1235</v>
      </c>
      <c r="D813" s="1040"/>
      <c r="E813" s="1028">
        <v>3800</v>
      </c>
      <c r="F813" s="1041"/>
      <c r="G813" s="1067">
        <v>25</v>
      </c>
      <c r="H813" s="620">
        <v>21</v>
      </c>
      <c r="I813" s="620">
        <v>32</v>
      </c>
      <c r="J813" s="1043">
        <v>20</v>
      </c>
      <c r="K813" s="1032" t="s">
        <v>347</v>
      </c>
      <c r="L813" s="1251">
        <v>12</v>
      </c>
      <c r="M813" s="1043">
        <v>1500</v>
      </c>
      <c r="N813" s="1264">
        <v>0.25</v>
      </c>
      <c r="O813" s="815">
        <v>1.8</v>
      </c>
      <c r="P813" s="812">
        <v>9</v>
      </c>
      <c r="Q813" s="495"/>
      <c r="R813" s="201" t="s">
        <v>413</v>
      </c>
      <c r="S813" s="201"/>
      <c r="T813" s="1278">
        <v>365.6</v>
      </c>
      <c r="U813" s="495"/>
      <c r="V813" s="620">
        <v>4.56</v>
      </c>
      <c r="W813" s="613"/>
      <c r="X813" s="495"/>
      <c r="Y813" s="846">
        <v>4.56</v>
      </c>
      <c r="Z813" s="828"/>
      <c r="AA813" s="838">
        <v>25.124000000000002</v>
      </c>
      <c r="AB813" s="830"/>
      <c r="AC813" s="940">
        <v>7.6000000000000005</v>
      </c>
      <c r="AD813" s="830" t="s">
        <v>484</v>
      </c>
      <c r="AE813" s="830">
        <v>0</v>
      </c>
      <c r="AF813" s="803">
        <v>13023</v>
      </c>
    </row>
    <row r="814" spans="1:32" ht="14.25">
      <c r="A814" s="154">
        <v>13024</v>
      </c>
      <c r="B814" s="992" t="s">
        <v>1501</v>
      </c>
      <c r="C814" s="992" t="s">
        <v>1236</v>
      </c>
      <c r="D814" s="510"/>
      <c r="E814" s="504">
        <v>5300</v>
      </c>
      <c r="F814" s="509"/>
      <c r="G814" s="1068">
        <v>35</v>
      </c>
      <c r="H814" s="511">
        <v>29</v>
      </c>
      <c r="I814" s="511">
        <v>45</v>
      </c>
      <c r="J814" s="766">
        <v>20</v>
      </c>
      <c r="K814" s="145" t="s">
        <v>347</v>
      </c>
      <c r="L814" s="492">
        <v>12</v>
      </c>
      <c r="M814" s="782">
        <v>1500</v>
      </c>
      <c r="N814" s="500">
        <v>0.25</v>
      </c>
      <c r="O814" s="788">
        <v>1.45</v>
      </c>
      <c r="P814" s="492">
        <v>16</v>
      </c>
      <c r="Q814" s="609">
        <v>0.05</v>
      </c>
      <c r="R814" s="610">
        <v>3211.8224999999998</v>
      </c>
      <c r="S814" s="610">
        <v>140</v>
      </c>
      <c r="T814" s="1277">
        <v>530.6</v>
      </c>
      <c r="U814" s="608">
        <v>42.82071875</v>
      </c>
      <c r="V814" s="511">
        <v>5.123333333333333</v>
      </c>
      <c r="W814" s="506"/>
      <c r="X814" s="608">
        <v>1.4000000000000001</v>
      </c>
      <c r="Y814" s="848">
        <v>5.123333333333333</v>
      </c>
      <c r="Z814" s="831"/>
      <c r="AA814" s="861">
        <v>34.81866666666667</v>
      </c>
      <c r="AB814" s="826"/>
      <c r="AC814" s="939">
        <v>10.6</v>
      </c>
      <c r="AD814" s="826" t="s">
        <v>484</v>
      </c>
      <c r="AE814" s="826">
        <v>0</v>
      </c>
      <c r="AF814" s="804">
        <v>13024</v>
      </c>
    </row>
    <row r="815" spans="1:32" ht="14.25">
      <c r="A815" s="990">
        <v>13025</v>
      </c>
      <c r="B815" s="991" t="s">
        <v>1501</v>
      </c>
      <c r="C815" s="991" t="s">
        <v>1237</v>
      </c>
      <c r="D815" s="1040"/>
      <c r="E815" s="1028">
        <v>3600</v>
      </c>
      <c r="F815" s="1041"/>
      <c r="G815" s="1067">
        <v>27</v>
      </c>
      <c r="H815" s="620">
        <v>23</v>
      </c>
      <c r="I815" s="620">
        <v>34</v>
      </c>
      <c r="J815" s="1043">
        <v>20</v>
      </c>
      <c r="K815" s="1032" t="s">
        <v>347</v>
      </c>
      <c r="L815" s="1251">
        <v>12</v>
      </c>
      <c r="M815" s="1043">
        <v>1500</v>
      </c>
      <c r="N815" s="1264">
        <v>0.25</v>
      </c>
      <c r="O815" s="815">
        <v>2.8</v>
      </c>
      <c r="P815" s="812">
        <v>11</v>
      </c>
      <c r="Q815" s="507">
        <v>0.1</v>
      </c>
      <c r="R815" s="201">
        <v>1492.5</v>
      </c>
      <c r="S815" s="201">
        <v>120</v>
      </c>
      <c r="T815" s="1278">
        <v>361.2</v>
      </c>
      <c r="U815" s="506">
        <v>20.53125</v>
      </c>
      <c r="V815" s="620">
        <v>6.72</v>
      </c>
      <c r="W815" s="613"/>
      <c r="X815" s="506">
        <v>2.8000000000000003</v>
      </c>
      <c r="Y815" s="846">
        <v>6.72</v>
      </c>
      <c r="Z815" s="828"/>
      <c r="AA815" s="838">
        <v>27.258</v>
      </c>
      <c r="AB815" s="830"/>
      <c r="AC815" s="940">
        <v>7.2</v>
      </c>
      <c r="AD815" s="830" t="s">
        <v>484</v>
      </c>
      <c r="AE815" s="830">
        <v>0</v>
      </c>
      <c r="AF815" s="803">
        <v>13025</v>
      </c>
    </row>
    <row r="816" spans="1:32" ht="14.25">
      <c r="A816" s="496"/>
      <c r="B816" s="761"/>
      <c r="C816" s="496"/>
      <c r="D816" s="510"/>
      <c r="E816" s="504"/>
      <c r="F816" s="509"/>
      <c r="G816" s="1217"/>
      <c r="H816" s="511"/>
      <c r="I816" s="511"/>
      <c r="J816" s="766"/>
      <c r="K816" s="495"/>
      <c r="L816" s="496"/>
      <c r="M816" s="766"/>
      <c r="N816" s="500" t="s">
        <v>413</v>
      </c>
      <c r="O816" s="788" t="s">
        <v>413</v>
      </c>
      <c r="P816" s="810"/>
      <c r="Q816" s="609">
        <v>0.05</v>
      </c>
      <c r="R816" s="610">
        <v>3828</v>
      </c>
      <c r="S816" s="610">
        <v>147</v>
      </c>
      <c r="T816" s="1277" t="s">
        <v>413</v>
      </c>
      <c r="U816" s="608">
        <v>40.63</v>
      </c>
      <c r="V816" s="511"/>
      <c r="W816" s="506"/>
      <c r="X816" s="608">
        <v>1.4000000000000001</v>
      </c>
      <c r="Y816" s="823" t="s">
        <v>413</v>
      </c>
      <c r="Z816" s="831"/>
      <c r="AA816" s="861"/>
      <c r="AB816" s="802"/>
      <c r="AC816" s="939" t="s">
        <v>413</v>
      </c>
      <c r="AD816" s="826" t="s">
        <v>413</v>
      </c>
      <c r="AE816" s="826"/>
      <c r="AF816" s="802"/>
    </row>
    <row r="817" spans="1:32" ht="14.25">
      <c r="A817" s="987">
        <v>13030</v>
      </c>
      <c r="B817" s="988"/>
      <c r="C817" s="989" t="s">
        <v>862</v>
      </c>
      <c r="D817" s="1021"/>
      <c r="E817" s="1022"/>
      <c r="F817" s="1023"/>
      <c r="G817" s="1024"/>
      <c r="H817" s="1025"/>
      <c r="I817" s="1025"/>
      <c r="J817" s="1026"/>
      <c r="K817" s="1026"/>
      <c r="L817" s="1021"/>
      <c r="M817" s="1026"/>
      <c r="N817" s="1263" t="s">
        <v>413</v>
      </c>
      <c r="O817" s="816" t="s">
        <v>413</v>
      </c>
      <c r="P817" s="809"/>
      <c r="Q817" s="507">
        <v>0.05</v>
      </c>
      <c r="R817" s="201">
        <v>748.2</v>
      </c>
      <c r="S817" s="201">
        <v>98</v>
      </c>
      <c r="T817" s="1276" t="s">
        <v>413</v>
      </c>
      <c r="U817" s="506">
        <v>7.195000000000001</v>
      </c>
      <c r="V817" s="1025"/>
      <c r="W817" s="1025"/>
      <c r="X817" s="506">
        <v>1.4000000000000001</v>
      </c>
      <c r="Y817" s="833" t="s">
        <v>413</v>
      </c>
      <c r="Z817" s="820"/>
      <c r="AA817" s="821"/>
      <c r="AB817" s="822"/>
      <c r="AC817" s="938" t="s">
        <v>413</v>
      </c>
      <c r="AD817" s="822" t="s">
        <v>413</v>
      </c>
      <c r="AE817" s="822"/>
      <c r="AF817" s="801">
        <v>13030</v>
      </c>
    </row>
    <row r="818" spans="1:32" ht="14.25">
      <c r="A818" s="496"/>
      <c r="B818" s="761"/>
      <c r="C818" s="496"/>
      <c r="D818" s="508"/>
      <c r="E818" s="504"/>
      <c r="F818" s="509"/>
      <c r="G818" s="495"/>
      <c r="H818" s="506"/>
      <c r="I818" s="506"/>
      <c r="J818" s="764"/>
      <c r="K818" s="495"/>
      <c r="L818" s="496"/>
      <c r="M818" s="764"/>
      <c r="N818" s="500" t="s">
        <v>413</v>
      </c>
      <c r="O818" s="788" t="s">
        <v>413</v>
      </c>
      <c r="P818" s="810"/>
      <c r="Q818" s="609">
        <v>0.1</v>
      </c>
      <c r="R818" s="610">
        <v>469.8</v>
      </c>
      <c r="S818" s="610">
        <v>98</v>
      </c>
      <c r="T818" s="1277" t="s">
        <v>413</v>
      </c>
      <c r="U818" s="608">
        <v>3.3062857142857136</v>
      </c>
      <c r="V818" s="506"/>
      <c r="W818" s="506"/>
      <c r="X818" s="608">
        <v>2.8000000000000003</v>
      </c>
      <c r="Y818" s="823" t="s">
        <v>413</v>
      </c>
      <c r="Z818" s="831"/>
      <c r="AA818" s="832"/>
      <c r="AB818" s="802"/>
      <c r="AC818" s="939" t="s">
        <v>413</v>
      </c>
      <c r="AD818" s="826" t="s">
        <v>413</v>
      </c>
      <c r="AE818" s="826"/>
      <c r="AF818" s="802"/>
    </row>
    <row r="819" spans="1:32" ht="14.25">
      <c r="A819" s="990">
        <v>13031</v>
      </c>
      <c r="B819" s="991"/>
      <c r="C819" s="991" t="s">
        <v>863</v>
      </c>
      <c r="D819" s="1218">
        <v>5</v>
      </c>
      <c r="E819" s="1028">
        <v>3200</v>
      </c>
      <c r="F819" s="1041">
        <v>18</v>
      </c>
      <c r="G819" s="1219">
        <v>3.6</v>
      </c>
      <c r="H819" s="1220">
        <v>3.1</v>
      </c>
      <c r="I819" s="1220">
        <v>4.4</v>
      </c>
      <c r="J819" s="1221">
        <v>120</v>
      </c>
      <c r="K819" s="1032" t="s">
        <v>347</v>
      </c>
      <c r="L819" s="1251">
        <v>12</v>
      </c>
      <c r="M819" s="1221">
        <v>5000</v>
      </c>
      <c r="N819" s="1264">
        <v>0.25</v>
      </c>
      <c r="O819" s="815">
        <v>1.45</v>
      </c>
      <c r="P819" s="1275">
        <v>3</v>
      </c>
      <c r="Q819" s="495"/>
      <c r="R819" s="201" t="s">
        <v>413</v>
      </c>
      <c r="S819" s="499"/>
      <c r="T819" s="1278">
        <v>280.4</v>
      </c>
      <c r="U819" s="495"/>
      <c r="V819" s="1220">
        <v>0.9279999999999999</v>
      </c>
      <c r="W819" s="1220"/>
      <c r="X819" s="495"/>
      <c r="Y819" s="918">
        <v>0.9279999999999999</v>
      </c>
      <c r="Z819" s="828">
        <v>17.955666666666666</v>
      </c>
      <c r="AA819" s="919">
        <v>3.5911333333333335</v>
      </c>
      <c r="AB819" s="830"/>
      <c r="AC819" s="940">
        <v>6.4</v>
      </c>
      <c r="AD819" s="830" t="s">
        <v>489</v>
      </c>
      <c r="AE819" s="830">
        <v>0</v>
      </c>
      <c r="AF819" s="803">
        <v>13031</v>
      </c>
    </row>
    <row r="820" spans="1:32" ht="28.5">
      <c r="A820" s="154">
        <v>13032</v>
      </c>
      <c r="B820" s="992"/>
      <c r="C820" s="992" t="s">
        <v>864</v>
      </c>
      <c r="D820" s="542"/>
      <c r="E820" s="504">
        <v>22000</v>
      </c>
      <c r="F820" s="621">
        <v>53</v>
      </c>
      <c r="G820" s="1222"/>
      <c r="H820" s="506">
        <v>45</v>
      </c>
      <c r="I820" s="506">
        <v>68</v>
      </c>
      <c r="J820" s="764">
        <v>50</v>
      </c>
      <c r="K820" s="145" t="s">
        <v>347</v>
      </c>
      <c r="L820" s="492">
        <v>12</v>
      </c>
      <c r="M820" s="780">
        <v>2500</v>
      </c>
      <c r="N820" s="500">
        <v>0.25</v>
      </c>
      <c r="O820" s="788">
        <v>1.1</v>
      </c>
      <c r="P820" s="492">
        <v>23</v>
      </c>
      <c r="Q820" s="603"/>
      <c r="R820" s="605" t="s">
        <v>413</v>
      </c>
      <c r="S820" s="606"/>
      <c r="T820" s="1277">
        <v>1942</v>
      </c>
      <c r="U820" s="604"/>
      <c r="V820" s="506">
        <v>9.680000000000001</v>
      </c>
      <c r="W820" s="506"/>
      <c r="X820" s="604"/>
      <c r="Y820" s="823">
        <v>9.680000000000001</v>
      </c>
      <c r="Z820" s="831">
        <v>53.37200000000001</v>
      </c>
      <c r="AA820" s="920"/>
      <c r="AB820" s="826"/>
      <c r="AC820" s="939">
        <v>44</v>
      </c>
      <c r="AD820" s="826" t="s">
        <v>483</v>
      </c>
      <c r="AE820" s="826">
        <v>0</v>
      </c>
      <c r="AF820" s="804">
        <v>13032</v>
      </c>
    </row>
    <row r="821" spans="1:32" ht="14.25">
      <c r="A821" s="990">
        <v>13033</v>
      </c>
      <c r="B821" s="991"/>
      <c r="C821" s="991" t="s">
        <v>1048</v>
      </c>
      <c r="D821" s="1223">
        <v>0.8</v>
      </c>
      <c r="E821" s="1028">
        <v>9500</v>
      </c>
      <c r="F821" s="1049">
        <v>16</v>
      </c>
      <c r="G821" s="1224">
        <v>20</v>
      </c>
      <c r="H821" s="613">
        <v>14</v>
      </c>
      <c r="I821" s="613">
        <v>19</v>
      </c>
      <c r="J821" s="1031">
        <v>120</v>
      </c>
      <c r="K821" s="1032">
        <v>80</v>
      </c>
      <c r="L821" s="1251">
        <v>12</v>
      </c>
      <c r="M821" s="1232">
        <v>2500</v>
      </c>
      <c r="N821" s="1264">
        <v>0.25</v>
      </c>
      <c r="O821" s="815">
        <v>1.5</v>
      </c>
      <c r="P821" s="812">
        <v>12</v>
      </c>
      <c r="Q821" s="495"/>
      <c r="R821" s="201" t="s">
        <v>413</v>
      </c>
      <c r="S821" s="499"/>
      <c r="T821" s="1278">
        <v>851</v>
      </c>
      <c r="U821" s="495"/>
      <c r="V821" s="613">
        <v>5.699999999999999</v>
      </c>
      <c r="W821" s="613">
        <v>1.74</v>
      </c>
      <c r="X821" s="495"/>
      <c r="Y821" s="827">
        <v>7.4399999999999995</v>
      </c>
      <c r="Z821" s="828">
        <v>15.984833333333334</v>
      </c>
      <c r="AA821" s="867">
        <v>19.981041666666666</v>
      </c>
      <c r="AB821" s="847">
        <v>3</v>
      </c>
      <c r="AC821" s="940">
        <v>19</v>
      </c>
      <c r="AD821" s="830" t="s">
        <v>483</v>
      </c>
      <c r="AE821" s="830">
        <v>2</v>
      </c>
      <c r="AF821" s="803">
        <v>13033</v>
      </c>
    </row>
    <row r="822" spans="1:32" ht="28.5">
      <c r="A822" s="154">
        <v>13034</v>
      </c>
      <c r="B822" s="992"/>
      <c r="C822" s="992" t="s">
        <v>1049</v>
      </c>
      <c r="D822" s="523">
        <v>2.5</v>
      </c>
      <c r="E822" s="504">
        <v>29000</v>
      </c>
      <c r="F822" s="621">
        <v>43</v>
      </c>
      <c r="G822" s="1148">
        <v>17</v>
      </c>
      <c r="H822" s="506">
        <v>38</v>
      </c>
      <c r="I822" s="506">
        <v>52</v>
      </c>
      <c r="J822" s="764">
        <v>120</v>
      </c>
      <c r="K822" s="145">
        <v>80</v>
      </c>
      <c r="L822" s="492">
        <v>12</v>
      </c>
      <c r="M822" s="780">
        <v>4000</v>
      </c>
      <c r="N822" s="500">
        <v>0.25</v>
      </c>
      <c r="O822" s="788">
        <v>1.05</v>
      </c>
      <c r="P822" s="492">
        <v>24</v>
      </c>
      <c r="Q822" s="609">
        <v>0.05</v>
      </c>
      <c r="R822" s="610">
        <v>4285.6</v>
      </c>
      <c r="S822" s="610">
        <v>546</v>
      </c>
      <c r="T822" s="1277">
        <v>3030</v>
      </c>
      <c r="U822" s="608">
        <v>19.6784</v>
      </c>
      <c r="V822" s="506">
        <v>7.612500000000001</v>
      </c>
      <c r="W822" s="506">
        <v>6.38</v>
      </c>
      <c r="X822" s="608">
        <v>1.4000000000000001</v>
      </c>
      <c r="Y822" s="823">
        <v>13.9925</v>
      </c>
      <c r="Z822" s="831">
        <v>43.16675</v>
      </c>
      <c r="AA822" s="868">
        <v>17.2667</v>
      </c>
      <c r="AB822" s="849">
        <v>11</v>
      </c>
      <c r="AC822" s="939">
        <v>398</v>
      </c>
      <c r="AD822" s="826" t="s">
        <v>483</v>
      </c>
      <c r="AE822" s="826">
        <v>2</v>
      </c>
      <c r="AF822" s="804">
        <v>13034</v>
      </c>
    </row>
    <row r="823" spans="1:32" ht="14.25">
      <c r="A823" s="990">
        <v>13035</v>
      </c>
      <c r="B823" s="991"/>
      <c r="C823" s="991" t="s">
        <v>1238</v>
      </c>
      <c r="D823" s="1225"/>
      <c r="E823" s="1028">
        <v>1600</v>
      </c>
      <c r="F823" s="1041"/>
      <c r="G823" s="1116">
        <v>4</v>
      </c>
      <c r="H823" s="1096">
        <v>3.3</v>
      </c>
      <c r="I823" s="1096">
        <v>4.7</v>
      </c>
      <c r="J823" s="1117">
        <v>75</v>
      </c>
      <c r="K823" s="1032" t="s">
        <v>347</v>
      </c>
      <c r="L823" s="1251">
        <v>15</v>
      </c>
      <c r="M823" s="1117">
        <v>6000</v>
      </c>
      <c r="N823" s="1264">
        <v>0.25</v>
      </c>
      <c r="O823" s="815">
        <v>4.15</v>
      </c>
      <c r="P823" s="812">
        <v>11</v>
      </c>
      <c r="Q823" s="507">
        <v>0.05</v>
      </c>
      <c r="R823" s="201">
        <v>497.5</v>
      </c>
      <c r="S823" s="201">
        <v>49</v>
      </c>
      <c r="T823" s="1278">
        <v>177.2</v>
      </c>
      <c r="U823" s="506">
        <v>4.6375</v>
      </c>
      <c r="V823" s="1096">
        <v>1.1066666666666667</v>
      </c>
      <c r="W823" s="1096"/>
      <c r="X823" s="506">
        <v>1.4000000000000001</v>
      </c>
      <c r="Y823" s="879">
        <v>1.1066666666666667</v>
      </c>
      <c r="Z823" s="828"/>
      <c r="AA823" s="869">
        <v>3.816266666666667</v>
      </c>
      <c r="AB823" s="830"/>
      <c r="AC823" s="940">
        <v>3.2</v>
      </c>
      <c r="AD823" s="830" t="s">
        <v>485</v>
      </c>
      <c r="AE823" s="830">
        <v>0</v>
      </c>
      <c r="AF823" s="803">
        <v>13035</v>
      </c>
    </row>
    <row r="824" spans="1:32" ht="14.25">
      <c r="A824" s="154">
        <v>13036</v>
      </c>
      <c r="B824" s="992"/>
      <c r="C824" s="992" t="s">
        <v>1239</v>
      </c>
      <c r="D824" s="650"/>
      <c r="E824" s="504">
        <v>1100</v>
      </c>
      <c r="F824" s="509"/>
      <c r="G824" s="1091">
        <v>3</v>
      </c>
      <c r="H824" s="1092">
        <v>2.7</v>
      </c>
      <c r="I824" s="1092">
        <v>3.7</v>
      </c>
      <c r="J824" s="1093">
        <v>75</v>
      </c>
      <c r="K824" s="145" t="s">
        <v>347</v>
      </c>
      <c r="L824" s="492">
        <v>15</v>
      </c>
      <c r="M824" s="1093">
        <v>6000</v>
      </c>
      <c r="N824" s="500">
        <v>0.25</v>
      </c>
      <c r="O824" s="788">
        <v>5.75</v>
      </c>
      <c r="P824" s="492">
        <v>9</v>
      </c>
      <c r="Q824" s="495"/>
      <c r="R824" s="201" t="s">
        <v>413</v>
      </c>
      <c r="S824" s="499"/>
      <c r="T824" s="1277">
        <v>130.45</v>
      </c>
      <c r="U824" s="495"/>
      <c r="V824" s="1092">
        <v>1.0541666666666667</v>
      </c>
      <c r="W824" s="1092"/>
      <c r="X824" s="495"/>
      <c r="Y824" s="864">
        <v>1.0541666666666667</v>
      </c>
      <c r="Z824" s="831"/>
      <c r="AA824" s="866">
        <v>3.0728500000000003</v>
      </c>
      <c r="AB824" s="826"/>
      <c r="AC824" s="939">
        <v>2.2</v>
      </c>
      <c r="AD824" s="826" t="s">
        <v>485</v>
      </c>
      <c r="AE824" s="826">
        <v>0</v>
      </c>
      <c r="AF824" s="804">
        <v>13036</v>
      </c>
    </row>
    <row r="825" spans="1:32" ht="14.25">
      <c r="A825" s="990">
        <v>13037</v>
      </c>
      <c r="B825" s="991"/>
      <c r="C825" s="991" t="s">
        <v>1050</v>
      </c>
      <c r="D825" s="1225"/>
      <c r="E825" s="1028">
        <v>5100</v>
      </c>
      <c r="F825" s="1041"/>
      <c r="G825" s="1116">
        <v>9.5</v>
      </c>
      <c r="H825" s="1096">
        <v>8</v>
      </c>
      <c r="I825" s="1096">
        <v>12</v>
      </c>
      <c r="J825" s="1117">
        <v>75</v>
      </c>
      <c r="K825" s="1032" t="s">
        <v>347</v>
      </c>
      <c r="L825" s="1251">
        <v>15</v>
      </c>
      <c r="M825" s="1117">
        <v>6000</v>
      </c>
      <c r="N825" s="1264">
        <v>0.25</v>
      </c>
      <c r="O825" s="815">
        <v>1.75</v>
      </c>
      <c r="P825" s="812">
        <v>31</v>
      </c>
      <c r="Q825" s="626"/>
      <c r="R825" s="627" t="s">
        <v>413</v>
      </c>
      <c r="S825" s="627"/>
      <c r="T825" s="1278">
        <v>540.45</v>
      </c>
      <c r="U825" s="637"/>
      <c r="V825" s="1096">
        <v>1.4875</v>
      </c>
      <c r="W825" s="1096"/>
      <c r="X825" s="625"/>
      <c r="Y825" s="879">
        <v>1.4875</v>
      </c>
      <c r="Z825" s="828"/>
      <c r="AA825" s="869">
        <v>9.562850000000001</v>
      </c>
      <c r="AB825" s="830"/>
      <c r="AC825" s="940">
        <v>10.200000000000001</v>
      </c>
      <c r="AD825" s="830" t="s">
        <v>485</v>
      </c>
      <c r="AE825" s="830">
        <v>0</v>
      </c>
      <c r="AF825" s="803">
        <v>13037</v>
      </c>
    </row>
    <row r="826" spans="1:32" ht="28.5">
      <c r="A826" s="154">
        <v>13038</v>
      </c>
      <c r="B826" s="992"/>
      <c r="C826" s="992" t="s">
        <v>1240</v>
      </c>
      <c r="D826" s="503"/>
      <c r="E826" s="504">
        <v>18000</v>
      </c>
      <c r="F826" s="621">
        <v>7.5</v>
      </c>
      <c r="G826" s="1037"/>
      <c r="H826" s="506">
        <v>6.4</v>
      </c>
      <c r="I826" s="506">
        <v>9</v>
      </c>
      <c r="J826" s="764">
        <v>400</v>
      </c>
      <c r="L826" s="492">
        <v>12</v>
      </c>
      <c r="M826" s="780">
        <v>8000</v>
      </c>
      <c r="N826" s="500">
        <v>0.1</v>
      </c>
      <c r="O826" s="788">
        <v>1</v>
      </c>
      <c r="P826" s="492">
        <v>18</v>
      </c>
      <c r="Q826" s="507"/>
      <c r="R826" s="201" t="s">
        <v>413</v>
      </c>
      <c r="S826" s="201"/>
      <c r="T826" s="1277">
        <v>1782</v>
      </c>
      <c r="U826" s="511"/>
      <c r="V826" s="506">
        <v>2.25</v>
      </c>
      <c r="W826" s="506"/>
      <c r="X826" s="506"/>
      <c r="Y826" s="823">
        <v>2.25</v>
      </c>
      <c r="Z826" s="831">
        <v>7.375500000000001</v>
      </c>
      <c r="AA826" s="836"/>
      <c r="AB826" s="826"/>
      <c r="AC826" s="939">
        <v>36</v>
      </c>
      <c r="AD826" s="826" t="s">
        <v>483</v>
      </c>
      <c r="AE826" s="826">
        <v>0</v>
      </c>
      <c r="AF826" s="804">
        <v>13038</v>
      </c>
    </row>
    <row r="827" spans="1:32" ht="28.5">
      <c r="A827" s="990">
        <v>13039</v>
      </c>
      <c r="B827" s="991"/>
      <c r="C827" s="991" t="s">
        <v>1051</v>
      </c>
      <c r="D827" s="1027"/>
      <c r="E827" s="1028">
        <v>35000</v>
      </c>
      <c r="F827" s="1049">
        <v>12.5</v>
      </c>
      <c r="G827" s="1038"/>
      <c r="H827" s="613">
        <v>11</v>
      </c>
      <c r="I827" s="613">
        <v>16</v>
      </c>
      <c r="J827" s="1031">
        <v>400</v>
      </c>
      <c r="K827" s="1032"/>
      <c r="L827" s="1251">
        <v>12</v>
      </c>
      <c r="M827" s="1232">
        <v>8000</v>
      </c>
      <c r="N827" s="1264">
        <v>0.1</v>
      </c>
      <c r="O827" s="815">
        <v>0.7</v>
      </c>
      <c r="P827" s="812">
        <v>24</v>
      </c>
      <c r="Q827" s="603"/>
      <c r="R827" s="605" t="s">
        <v>413</v>
      </c>
      <c r="S827" s="606"/>
      <c r="T827" s="1278">
        <v>3399</v>
      </c>
      <c r="U827" s="604"/>
      <c r="V827" s="613">
        <v>3.0625</v>
      </c>
      <c r="W827" s="613"/>
      <c r="X827" s="604"/>
      <c r="Y827" s="827">
        <v>3.0625</v>
      </c>
      <c r="Z827" s="828">
        <v>12.716000000000001</v>
      </c>
      <c r="AA827" s="837"/>
      <c r="AB827" s="830"/>
      <c r="AC827" s="940">
        <v>70</v>
      </c>
      <c r="AD827" s="830" t="s">
        <v>483</v>
      </c>
      <c r="AE827" s="830">
        <v>0</v>
      </c>
      <c r="AF827" s="803">
        <v>13039</v>
      </c>
    </row>
    <row r="828" spans="1:32" ht="28.5">
      <c r="A828" s="154">
        <v>13040</v>
      </c>
      <c r="B828" s="992"/>
      <c r="C828" s="992" t="s">
        <v>1052</v>
      </c>
      <c r="D828" s="503"/>
      <c r="E828" s="504">
        <v>61000</v>
      </c>
      <c r="F828" s="621">
        <v>21</v>
      </c>
      <c r="G828" s="1037"/>
      <c r="H828" s="506">
        <v>17</v>
      </c>
      <c r="I828" s="506">
        <v>26</v>
      </c>
      <c r="J828" s="764">
        <v>400</v>
      </c>
      <c r="L828" s="492">
        <v>12</v>
      </c>
      <c r="M828" s="780">
        <v>8000</v>
      </c>
      <c r="N828" s="500">
        <v>0.1</v>
      </c>
      <c r="O828" s="788">
        <v>0.55</v>
      </c>
      <c r="P828" s="492">
        <v>29</v>
      </c>
      <c r="Q828" s="507"/>
      <c r="R828" s="201" t="s">
        <v>413</v>
      </c>
      <c r="S828" s="201"/>
      <c r="T828" s="1277">
        <v>5847</v>
      </c>
      <c r="U828" s="506"/>
      <c r="V828" s="506">
        <v>4.1937500000000005</v>
      </c>
      <c r="W828" s="506"/>
      <c r="X828" s="506"/>
      <c r="Y828" s="823">
        <v>4.1937500000000005</v>
      </c>
      <c r="Z828" s="831">
        <v>20.692375000000002</v>
      </c>
      <c r="AA828" s="836"/>
      <c r="AB828" s="826"/>
      <c r="AC828" s="939">
        <v>122</v>
      </c>
      <c r="AD828" s="826" t="s">
        <v>483</v>
      </c>
      <c r="AE828" s="826">
        <v>0</v>
      </c>
      <c r="AF828" s="804">
        <v>13040</v>
      </c>
    </row>
    <row r="829" spans="1:32" ht="14.25">
      <c r="A829" s="990">
        <v>13041</v>
      </c>
      <c r="B829" s="991"/>
      <c r="C829" s="991" t="s">
        <v>1241</v>
      </c>
      <c r="D829" s="1027">
        <v>7</v>
      </c>
      <c r="E829" s="1028">
        <v>36000</v>
      </c>
      <c r="F829" s="1049">
        <v>19</v>
      </c>
      <c r="G829" s="1226"/>
      <c r="H829" s="613">
        <v>16.5</v>
      </c>
      <c r="I829" s="613">
        <v>23</v>
      </c>
      <c r="J829" s="1031">
        <v>300</v>
      </c>
      <c r="K829" s="1032">
        <v>40</v>
      </c>
      <c r="L829" s="1251">
        <v>12</v>
      </c>
      <c r="M829" s="1232">
        <v>5000</v>
      </c>
      <c r="N829" s="1264">
        <v>0.1</v>
      </c>
      <c r="O829" s="815">
        <v>0.55</v>
      </c>
      <c r="P829" s="812">
        <v>18</v>
      </c>
      <c r="Q829" s="609">
        <v>0.1</v>
      </c>
      <c r="R829" s="610">
        <v>974</v>
      </c>
      <c r="S829" s="610">
        <v>133</v>
      </c>
      <c r="T829" s="1278">
        <v>3456</v>
      </c>
      <c r="U829" s="620">
        <v>18.783333333333335</v>
      </c>
      <c r="V829" s="613">
        <v>3.9600000000000004</v>
      </c>
      <c r="W829" s="613">
        <v>2.0300000000000002</v>
      </c>
      <c r="X829" s="620">
        <v>2.8000000000000003</v>
      </c>
      <c r="Y829" s="827">
        <v>5.99</v>
      </c>
      <c r="Z829" s="828">
        <v>19.261</v>
      </c>
      <c r="AA829" s="869"/>
      <c r="AB829" s="830"/>
      <c r="AC829" s="940">
        <v>72</v>
      </c>
      <c r="AD829" s="830" t="s">
        <v>483</v>
      </c>
      <c r="AE829" s="830">
        <v>2</v>
      </c>
      <c r="AF829" s="803">
        <v>13041</v>
      </c>
    </row>
    <row r="830" spans="1:32" ht="28.5">
      <c r="A830" s="154">
        <v>13042</v>
      </c>
      <c r="B830" s="992"/>
      <c r="C830" s="992" t="s">
        <v>1053</v>
      </c>
      <c r="D830" s="503">
        <v>8</v>
      </c>
      <c r="E830" s="504">
        <v>53000</v>
      </c>
      <c r="F830" s="621">
        <v>24</v>
      </c>
      <c r="G830" s="1037"/>
      <c r="H830" s="506">
        <v>22</v>
      </c>
      <c r="I830" s="506">
        <v>28</v>
      </c>
      <c r="J830" s="764">
        <v>600</v>
      </c>
      <c r="K830" s="145">
        <v>70</v>
      </c>
      <c r="L830" s="492">
        <v>10</v>
      </c>
      <c r="M830" s="780">
        <v>8000</v>
      </c>
      <c r="N830" s="500">
        <v>0.1</v>
      </c>
      <c r="O830" s="788">
        <v>1.2</v>
      </c>
      <c r="P830" s="492">
        <v>31</v>
      </c>
      <c r="Q830" s="507">
        <v>0.1</v>
      </c>
      <c r="R830" s="201">
        <v>1168.8</v>
      </c>
      <c r="S830" s="201">
        <v>189</v>
      </c>
      <c r="T830" s="1277">
        <v>5910</v>
      </c>
      <c r="U830" s="511">
        <v>23.029999999999998</v>
      </c>
      <c r="V830" s="506">
        <v>7.949999999999999</v>
      </c>
      <c r="W830" s="506">
        <v>4.0600000000000005</v>
      </c>
      <c r="X830" s="511">
        <v>2.8000000000000003</v>
      </c>
      <c r="Y830" s="823">
        <v>12.01</v>
      </c>
      <c r="Z830" s="831">
        <v>24.046000000000003</v>
      </c>
      <c r="AA830" s="836"/>
      <c r="AB830" s="826"/>
      <c r="AC830" s="939">
        <v>106</v>
      </c>
      <c r="AD830" s="826" t="s">
        <v>483</v>
      </c>
      <c r="AE830" s="826">
        <v>2</v>
      </c>
      <c r="AF830" s="804">
        <v>13042</v>
      </c>
    </row>
    <row r="831" spans="1:32" ht="14.25">
      <c r="A831" s="990">
        <v>13043</v>
      </c>
      <c r="B831" s="991"/>
      <c r="C831" s="991" t="s">
        <v>865</v>
      </c>
      <c r="D831" s="1027"/>
      <c r="E831" s="1028">
        <v>7900</v>
      </c>
      <c r="F831" s="1049">
        <v>5.3</v>
      </c>
      <c r="G831" s="1038"/>
      <c r="H831" s="613">
        <v>4.8</v>
      </c>
      <c r="I831" s="613">
        <v>6.2</v>
      </c>
      <c r="J831" s="1031">
        <v>400</v>
      </c>
      <c r="K831" s="1032"/>
      <c r="L831" s="1251">
        <v>12</v>
      </c>
      <c r="M831" s="1232">
        <v>8000</v>
      </c>
      <c r="N831" s="1264">
        <v>0.1</v>
      </c>
      <c r="O831" s="815">
        <v>2.4</v>
      </c>
      <c r="P831" s="812">
        <v>42</v>
      </c>
      <c r="Q831" s="609">
        <v>0.1</v>
      </c>
      <c r="R831" s="610">
        <v>1314.9</v>
      </c>
      <c r="S831" s="610">
        <v>189</v>
      </c>
      <c r="T831" s="1278">
        <v>986.6999999999999</v>
      </c>
      <c r="U831" s="620">
        <v>25.515</v>
      </c>
      <c r="V831" s="613">
        <v>2.37</v>
      </c>
      <c r="W831" s="613"/>
      <c r="X831" s="620">
        <v>2.8000000000000003</v>
      </c>
      <c r="Y831" s="827">
        <v>2.37</v>
      </c>
      <c r="Z831" s="828">
        <v>5.320425000000001</v>
      </c>
      <c r="AA831" s="837"/>
      <c r="AB831" s="830"/>
      <c r="AC831" s="940">
        <v>15.8</v>
      </c>
      <c r="AD831" s="830" t="s">
        <v>483</v>
      </c>
      <c r="AE831" s="830">
        <v>0</v>
      </c>
      <c r="AF831" s="803">
        <v>13043</v>
      </c>
    </row>
    <row r="832" spans="1:32" ht="14.25">
      <c r="A832" s="154">
        <v>13044</v>
      </c>
      <c r="B832" s="992"/>
      <c r="C832" s="992" t="s">
        <v>866</v>
      </c>
      <c r="D832" s="650" t="s">
        <v>347</v>
      </c>
      <c r="E832" s="504">
        <v>29000</v>
      </c>
      <c r="F832" s="509"/>
      <c r="G832" s="1091">
        <v>18</v>
      </c>
      <c r="H832" s="1092">
        <v>16</v>
      </c>
      <c r="I832" s="1092">
        <v>22</v>
      </c>
      <c r="J832" s="1093">
        <v>200</v>
      </c>
      <c r="K832" s="145" t="s">
        <v>347</v>
      </c>
      <c r="L832" s="492">
        <v>15</v>
      </c>
      <c r="M832" s="1093">
        <v>6000</v>
      </c>
      <c r="N832" s="500">
        <v>0.25</v>
      </c>
      <c r="O832" s="788">
        <v>1.25</v>
      </c>
      <c r="P832" s="492">
        <v>21</v>
      </c>
      <c r="Q832" s="507">
        <v>0.1</v>
      </c>
      <c r="R832" s="201">
        <v>609</v>
      </c>
      <c r="S832" s="201">
        <v>133</v>
      </c>
      <c r="T832" s="1277">
        <v>2141.5</v>
      </c>
      <c r="U832" s="511">
        <v>30.24</v>
      </c>
      <c r="V832" s="1092">
        <v>6.041666666666666</v>
      </c>
      <c r="W832" s="1092"/>
      <c r="X832" s="511">
        <v>2.8000000000000003</v>
      </c>
      <c r="Y832" s="864">
        <v>6.041666666666666</v>
      </c>
      <c r="Z832" s="831"/>
      <c r="AA832" s="866">
        <v>18.424083333333336</v>
      </c>
      <c r="AB832" s="826"/>
      <c r="AC832" s="939">
        <v>58</v>
      </c>
      <c r="AD832" s="826" t="s">
        <v>485</v>
      </c>
      <c r="AE832" s="826">
        <v>0</v>
      </c>
      <c r="AF832" s="804">
        <v>13044</v>
      </c>
    </row>
    <row r="833" spans="1:32" ht="14.25">
      <c r="A833" s="496"/>
      <c r="B833" s="761"/>
      <c r="C833" s="496"/>
      <c r="D833" s="510"/>
      <c r="E833" s="504"/>
      <c r="F833" s="509"/>
      <c r="G833" s="1227"/>
      <c r="H833" s="543"/>
      <c r="I833" s="543"/>
      <c r="J833" s="779"/>
      <c r="K833" s="495"/>
      <c r="L833" s="496"/>
      <c r="M833" s="779"/>
      <c r="N833" s="500" t="s">
        <v>413</v>
      </c>
      <c r="O833" s="788" t="s">
        <v>413</v>
      </c>
      <c r="P833" s="810"/>
      <c r="Q833" s="609">
        <v>0.1</v>
      </c>
      <c r="R833" s="610">
        <v>826.5</v>
      </c>
      <c r="S833" s="610">
        <v>168</v>
      </c>
      <c r="T833" s="1277" t="s">
        <v>413</v>
      </c>
      <c r="U833" s="620">
        <v>40.54</v>
      </c>
      <c r="V833" s="543"/>
      <c r="W833" s="543"/>
      <c r="X833" s="620">
        <v>2.8000000000000003</v>
      </c>
      <c r="Y833" s="823" t="s">
        <v>413</v>
      </c>
      <c r="Z833" s="831"/>
      <c r="AA833" s="921"/>
      <c r="AB833" s="802"/>
      <c r="AC833" s="939" t="s">
        <v>413</v>
      </c>
      <c r="AD833" s="826" t="s">
        <v>413</v>
      </c>
      <c r="AE833" s="826"/>
      <c r="AF833" s="802"/>
    </row>
    <row r="834" spans="1:32" ht="14.25">
      <c r="A834" s="987">
        <v>13050</v>
      </c>
      <c r="B834" s="988"/>
      <c r="C834" s="989" t="s">
        <v>867</v>
      </c>
      <c r="D834" s="1021"/>
      <c r="E834" s="1022"/>
      <c r="F834" s="1023"/>
      <c r="G834" s="1024"/>
      <c r="H834" s="1025"/>
      <c r="I834" s="1025"/>
      <c r="J834" s="1026"/>
      <c r="K834" s="1026"/>
      <c r="L834" s="1021"/>
      <c r="M834" s="1026"/>
      <c r="N834" s="1263" t="s">
        <v>413</v>
      </c>
      <c r="O834" s="816" t="s">
        <v>413</v>
      </c>
      <c r="P834" s="809"/>
      <c r="Q834" s="507">
        <v>0.1</v>
      </c>
      <c r="R834" s="201">
        <v>217.5</v>
      </c>
      <c r="S834" s="201">
        <v>161</v>
      </c>
      <c r="T834" s="1276" t="s">
        <v>413</v>
      </c>
      <c r="U834" s="511">
        <v>15.34</v>
      </c>
      <c r="V834" s="1025"/>
      <c r="W834" s="1025"/>
      <c r="X834" s="511">
        <v>2.8000000000000003</v>
      </c>
      <c r="Y834" s="833" t="s">
        <v>413</v>
      </c>
      <c r="Z834" s="820"/>
      <c r="AA834" s="821"/>
      <c r="AB834" s="822"/>
      <c r="AC834" s="938" t="s">
        <v>413</v>
      </c>
      <c r="AD834" s="822" t="s">
        <v>413</v>
      </c>
      <c r="AE834" s="822"/>
      <c r="AF834" s="801">
        <v>13050</v>
      </c>
    </row>
    <row r="835" spans="1:32" ht="14.25">
      <c r="A835" s="496"/>
      <c r="B835" s="761"/>
      <c r="C835" s="496"/>
      <c r="D835" s="510"/>
      <c r="E835" s="504"/>
      <c r="F835" s="509"/>
      <c r="G835" s="1053"/>
      <c r="H835" s="506"/>
      <c r="I835" s="506"/>
      <c r="J835" s="764"/>
      <c r="K835" s="495"/>
      <c r="L835" s="496"/>
      <c r="M835" s="764"/>
      <c r="N835" s="500" t="s">
        <v>413</v>
      </c>
      <c r="O835" s="788" t="s">
        <v>413</v>
      </c>
      <c r="P835" s="810"/>
      <c r="Q835" s="609">
        <v>0.1</v>
      </c>
      <c r="R835" s="610">
        <v>2487.5</v>
      </c>
      <c r="S835" s="610">
        <v>203</v>
      </c>
      <c r="T835" s="1277" t="s">
        <v>413</v>
      </c>
      <c r="U835" s="620">
        <v>137.025</v>
      </c>
      <c r="V835" s="511"/>
      <c r="W835" s="506"/>
      <c r="X835" s="620">
        <v>2.8000000000000003</v>
      </c>
      <c r="Y835" s="823" t="s">
        <v>413</v>
      </c>
      <c r="Z835" s="831"/>
      <c r="AA835" s="866"/>
      <c r="AB835" s="802"/>
      <c r="AC835" s="939" t="s">
        <v>413</v>
      </c>
      <c r="AD835" s="826" t="s">
        <v>413</v>
      </c>
      <c r="AE835" s="826"/>
      <c r="AF835" s="802"/>
    </row>
    <row r="836" spans="1:32" ht="14.25">
      <c r="A836" s="1008">
        <v>13051</v>
      </c>
      <c r="B836" s="993"/>
      <c r="C836" s="991" t="s">
        <v>868</v>
      </c>
      <c r="D836" s="1040" t="s">
        <v>347</v>
      </c>
      <c r="E836" s="1028">
        <v>18500</v>
      </c>
      <c r="F836" s="1049">
        <v>22</v>
      </c>
      <c r="G836" s="1228"/>
      <c r="H836" s="613">
        <v>19</v>
      </c>
      <c r="I836" s="613">
        <v>28</v>
      </c>
      <c r="J836" s="1031">
        <v>100</v>
      </c>
      <c r="K836" s="1032" t="s">
        <v>347</v>
      </c>
      <c r="L836" s="1251">
        <v>15</v>
      </c>
      <c r="M836" s="1232">
        <v>4000</v>
      </c>
      <c r="N836" s="1264">
        <v>0.25</v>
      </c>
      <c r="O836" s="815">
        <v>1.2</v>
      </c>
      <c r="P836" s="812">
        <v>29</v>
      </c>
      <c r="Q836" s="507">
        <v>0.1</v>
      </c>
      <c r="R836" s="201">
        <v>3383</v>
      </c>
      <c r="S836" s="201">
        <v>231</v>
      </c>
      <c r="T836" s="1278">
        <v>1459.75</v>
      </c>
      <c r="U836" s="511">
        <v>92.05</v>
      </c>
      <c r="V836" s="616">
        <v>5.55</v>
      </c>
      <c r="W836" s="616"/>
      <c r="X836" s="511">
        <v>2.8000000000000003</v>
      </c>
      <c r="Y836" s="827">
        <v>5.55</v>
      </c>
      <c r="Z836" s="914">
        <v>22.162250000000004</v>
      </c>
      <c r="AA836" s="922"/>
      <c r="AB836" s="923"/>
      <c r="AC836" s="940">
        <v>37</v>
      </c>
      <c r="AD836" s="830" t="s">
        <v>483</v>
      </c>
      <c r="AE836" s="923">
        <v>0</v>
      </c>
      <c r="AF836" s="807">
        <v>13051</v>
      </c>
    </row>
    <row r="837" spans="1:32" ht="28.5">
      <c r="A837" s="154">
        <v>13052</v>
      </c>
      <c r="B837" s="992"/>
      <c r="C837" s="992" t="s">
        <v>1242</v>
      </c>
      <c r="D837" s="544"/>
      <c r="E837" s="504">
        <v>11000</v>
      </c>
      <c r="F837" s="621">
        <v>47</v>
      </c>
      <c r="G837" s="1229"/>
      <c r="H837" s="506">
        <v>40</v>
      </c>
      <c r="I837" s="506">
        <v>60</v>
      </c>
      <c r="J837" s="764">
        <v>40</v>
      </c>
      <c r="K837" s="145" t="s">
        <v>347</v>
      </c>
      <c r="L837" s="492">
        <v>12</v>
      </c>
      <c r="M837" s="780">
        <v>800</v>
      </c>
      <c r="N837" s="500">
        <v>0.1</v>
      </c>
      <c r="O837" s="788">
        <v>1.2</v>
      </c>
      <c r="P837" s="492">
        <v>7</v>
      </c>
      <c r="Q837" s="609">
        <v>0.1</v>
      </c>
      <c r="R837" s="610">
        <v>746.25</v>
      </c>
      <c r="S837" s="610">
        <v>203</v>
      </c>
      <c r="T837" s="1277">
        <v>1065</v>
      </c>
      <c r="U837" s="620">
        <v>27.55</v>
      </c>
      <c r="V837" s="506">
        <v>16.5</v>
      </c>
      <c r="W837" s="506"/>
      <c r="X837" s="620">
        <v>2.8000000000000003</v>
      </c>
      <c r="Y837" s="823">
        <v>16.5</v>
      </c>
      <c r="Z837" s="831">
        <v>47.43750000000001</v>
      </c>
      <c r="AA837" s="924"/>
      <c r="AB837" s="826"/>
      <c r="AC837" s="939">
        <v>22</v>
      </c>
      <c r="AD837" s="826" t="s">
        <v>483</v>
      </c>
      <c r="AE837" s="826">
        <v>0</v>
      </c>
      <c r="AF837" s="804">
        <v>13052</v>
      </c>
    </row>
    <row r="838" spans="1:32" ht="14.25">
      <c r="A838" s="990">
        <v>13053</v>
      </c>
      <c r="B838" s="991"/>
      <c r="C838" s="991" t="s">
        <v>1243</v>
      </c>
      <c r="D838" s="1115">
        <v>2.6</v>
      </c>
      <c r="E838" s="1028">
        <v>21500</v>
      </c>
      <c r="F838" s="1041">
        <v>114</v>
      </c>
      <c r="G838" s="1116">
        <v>44</v>
      </c>
      <c r="H838" s="1096">
        <v>37</v>
      </c>
      <c r="I838" s="1096">
        <v>55</v>
      </c>
      <c r="J838" s="1117">
        <v>80</v>
      </c>
      <c r="K838" s="1118"/>
      <c r="L838" s="1251">
        <v>10</v>
      </c>
      <c r="M838" s="1117">
        <v>3000</v>
      </c>
      <c r="N838" s="1264">
        <v>0.25</v>
      </c>
      <c r="O838" s="815">
        <v>1.5</v>
      </c>
      <c r="P838" s="812">
        <v>50</v>
      </c>
      <c r="Q838" s="507">
        <v>0.2</v>
      </c>
      <c r="R838" s="201">
        <v>1044</v>
      </c>
      <c r="S838" s="201">
        <v>112</v>
      </c>
      <c r="T838" s="1278">
        <v>2331.75</v>
      </c>
      <c r="U838" s="511">
        <v>47.2</v>
      </c>
      <c r="V838" s="1096">
        <v>10.75</v>
      </c>
      <c r="W838" s="1096"/>
      <c r="X838" s="511">
        <v>5.6000000000000005</v>
      </c>
      <c r="Y838" s="879">
        <v>10.75</v>
      </c>
      <c r="Z838" s="828"/>
      <c r="AA838" s="869">
        <v>43.886562500000004</v>
      </c>
      <c r="AB838" s="830"/>
      <c r="AC838" s="940">
        <v>43</v>
      </c>
      <c r="AD838" s="830" t="s">
        <v>485</v>
      </c>
      <c r="AE838" s="830">
        <v>0</v>
      </c>
      <c r="AF838" s="803">
        <v>13053</v>
      </c>
    </row>
    <row r="839" spans="1:32" ht="14.25">
      <c r="A839" s="531">
        <v>13054</v>
      </c>
      <c r="B839" s="763"/>
      <c r="C839" s="992" t="s">
        <v>869</v>
      </c>
      <c r="D839" s="544">
        <v>250</v>
      </c>
      <c r="E839" s="504">
        <v>5500</v>
      </c>
      <c r="F839" s="621">
        <v>14.5</v>
      </c>
      <c r="G839" s="652"/>
      <c r="H839" s="506">
        <v>13</v>
      </c>
      <c r="I839" s="506">
        <v>18</v>
      </c>
      <c r="J839" s="764">
        <v>50</v>
      </c>
      <c r="K839" s="145" t="s">
        <v>347</v>
      </c>
      <c r="L839" s="492">
        <v>12</v>
      </c>
      <c r="M839" s="780">
        <v>2500</v>
      </c>
      <c r="N839" s="500">
        <v>0.25</v>
      </c>
      <c r="O839" s="788">
        <v>1.6</v>
      </c>
      <c r="P839" s="492">
        <v>7</v>
      </c>
      <c r="Q839" s="630">
        <v>0</v>
      </c>
      <c r="R839" s="610">
        <v>292.2</v>
      </c>
      <c r="S839" s="610">
        <v>98</v>
      </c>
      <c r="T839" s="1277">
        <v>493</v>
      </c>
      <c r="U839" s="648">
        <v>0.026413333333333334</v>
      </c>
      <c r="V839" s="516">
        <v>3.5200000000000005</v>
      </c>
      <c r="W839" s="516"/>
      <c r="X839" s="647">
        <v>0</v>
      </c>
      <c r="Y839" s="823">
        <v>3.5200000000000005</v>
      </c>
      <c r="Z839" s="653">
        <v>14.718</v>
      </c>
      <c r="AA839" s="654"/>
      <c r="AB839" s="541"/>
      <c r="AC839" s="939">
        <v>11</v>
      </c>
      <c r="AD839" s="826" t="s">
        <v>483</v>
      </c>
      <c r="AE839" s="541">
        <v>0</v>
      </c>
      <c r="AF839" s="531">
        <v>13054</v>
      </c>
    </row>
    <row r="840" spans="1:32" ht="28.5">
      <c r="A840" s="990">
        <v>13055</v>
      </c>
      <c r="B840" s="991"/>
      <c r="C840" s="991" t="s">
        <v>1244</v>
      </c>
      <c r="D840" s="1040">
        <v>8</v>
      </c>
      <c r="E840" s="1028">
        <v>11000</v>
      </c>
      <c r="F840" s="1041">
        <v>30</v>
      </c>
      <c r="G840" s="1067">
        <v>370</v>
      </c>
      <c r="H840" s="620">
        <v>320</v>
      </c>
      <c r="I840" s="620">
        <v>460</v>
      </c>
      <c r="J840" s="1043">
        <v>6</v>
      </c>
      <c r="K840" s="1032" t="s">
        <v>347</v>
      </c>
      <c r="L840" s="1251">
        <v>12</v>
      </c>
      <c r="M840" s="1043">
        <v>100</v>
      </c>
      <c r="N840" s="1264">
        <v>0.1</v>
      </c>
      <c r="O840" s="815">
        <v>1</v>
      </c>
      <c r="P840" s="812">
        <v>59</v>
      </c>
      <c r="Q840" s="507"/>
      <c r="R840" s="201" t="s">
        <v>413</v>
      </c>
      <c r="S840" s="201"/>
      <c r="T840" s="1278">
        <v>1377</v>
      </c>
      <c r="U840" s="511"/>
      <c r="V840" s="1111">
        <v>110</v>
      </c>
      <c r="W840" s="613"/>
      <c r="X840" s="511"/>
      <c r="Y840" s="846">
        <v>110</v>
      </c>
      <c r="Z840" s="828">
        <v>29.876000000000005</v>
      </c>
      <c r="AA840" s="838">
        <v>373.45000000000005</v>
      </c>
      <c r="AB840" s="830"/>
      <c r="AC840" s="940">
        <v>22</v>
      </c>
      <c r="AD840" s="830" t="s">
        <v>484</v>
      </c>
      <c r="AE840" s="830">
        <v>0</v>
      </c>
      <c r="AF840" s="803">
        <v>13055</v>
      </c>
    </row>
    <row r="841" spans="1:32" ht="28.5">
      <c r="A841" s="154">
        <v>13056</v>
      </c>
      <c r="B841" s="992"/>
      <c r="C841" s="992" t="s">
        <v>1245</v>
      </c>
      <c r="D841" s="510">
        <v>8</v>
      </c>
      <c r="E841" s="504">
        <v>26000</v>
      </c>
      <c r="F841" s="509">
        <v>63</v>
      </c>
      <c r="G841" s="1068">
        <v>790</v>
      </c>
      <c r="H841" s="511">
        <v>690</v>
      </c>
      <c r="I841" s="511">
        <v>960</v>
      </c>
      <c r="J841" s="766">
        <v>6</v>
      </c>
      <c r="K841" s="145" t="s">
        <v>347</v>
      </c>
      <c r="L841" s="492">
        <v>12</v>
      </c>
      <c r="M841" s="766">
        <v>100</v>
      </c>
      <c r="N841" s="500">
        <v>0.1</v>
      </c>
      <c r="O841" s="788">
        <v>1</v>
      </c>
      <c r="P841" s="492">
        <v>59</v>
      </c>
      <c r="Q841" s="603"/>
      <c r="R841" s="605" t="s">
        <v>413</v>
      </c>
      <c r="S841" s="606"/>
      <c r="T841" s="1277">
        <v>2772</v>
      </c>
      <c r="U841" s="604"/>
      <c r="V841" s="522">
        <v>260</v>
      </c>
      <c r="W841" s="506"/>
      <c r="X841" s="604"/>
      <c r="Y841" s="848">
        <v>260</v>
      </c>
      <c r="Z841" s="831">
        <v>63.536</v>
      </c>
      <c r="AA841" s="861">
        <v>794.2</v>
      </c>
      <c r="AB841" s="826"/>
      <c r="AC841" s="939">
        <v>52</v>
      </c>
      <c r="AD841" s="826" t="s">
        <v>484</v>
      </c>
      <c r="AE841" s="826">
        <v>0</v>
      </c>
      <c r="AF841" s="804">
        <v>13056</v>
      </c>
    </row>
    <row r="842" spans="1:32" ht="28.5">
      <c r="A842" s="990">
        <v>13057</v>
      </c>
      <c r="B842" s="991"/>
      <c r="C842" s="991" t="s">
        <v>1246</v>
      </c>
      <c r="D842" s="1040"/>
      <c r="E842" s="1028">
        <v>22500</v>
      </c>
      <c r="F842" s="1041"/>
      <c r="G842" s="1215">
        <v>0.06</v>
      </c>
      <c r="H842" s="1230">
        <v>0.05</v>
      </c>
      <c r="I842" s="1230">
        <v>0.07</v>
      </c>
      <c r="J842" s="1216">
        <v>100000</v>
      </c>
      <c r="K842" s="1032" t="s">
        <v>347</v>
      </c>
      <c r="L842" s="1251">
        <v>12</v>
      </c>
      <c r="M842" s="1261">
        <v>2000000</v>
      </c>
      <c r="N842" s="1264">
        <v>0.1</v>
      </c>
      <c r="O842" s="815">
        <v>2.55</v>
      </c>
      <c r="P842" s="812">
        <v>35</v>
      </c>
      <c r="Q842" s="507"/>
      <c r="R842" s="201" t="s">
        <v>413</v>
      </c>
      <c r="S842" s="201"/>
      <c r="T842" s="1278">
        <v>2302.5</v>
      </c>
      <c r="U842" s="511"/>
      <c r="V842" s="1287">
        <v>0.028687499999999998</v>
      </c>
      <c r="W842" s="613"/>
      <c r="X842" s="511"/>
      <c r="Y842" s="925">
        <v>0.028687499999999998</v>
      </c>
      <c r="Z842" s="828"/>
      <c r="AA842" s="917">
        <v>0.05688375</v>
      </c>
      <c r="AB842" s="830"/>
      <c r="AC842" s="940">
        <v>45</v>
      </c>
      <c r="AD842" s="830" t="s">
        <v>1074</v>
      </c>
      <c r="AE842" s="830">
        <v>0</v>
      </c>
      <c r="AF842" s="803">
        <v>13057</v>
      </c>
    </row>
    <row r="843" spans="1:32" ht="14.25">
      <c r="A843" s="496"/>
      <c r="B843" s="761"/>
      <c r="C843" s="496"/>
      <c r="D843" s="545"/>
      <c r="E843" s="504"/>
      <c r="F843" s="509"/>
      <c r="G843" s="1231"/>
      <c r="H843" s="506"/>
      <c r="I843" s="506"/>
      <c r="J843" s="764"/>
      <c r="K843" s="495"/>
      <c r="L843" s="496"/>
      <c r="M843" s="764"/>
      <c r="N843" s="500" t="s">
        <v>413</v>
      </c>
      <c r="O843" s="788" t="s">
        <v>413</v>
      </c>
      <c r="P843" s="810"/>
      <c r="Q843" s="609">
        <v>0.067</v>
      </c>
      <c r="R843" s="610">
        <v>1363.6</v>
      </c>
      <c r="S843" s="610">
        <v>77</v>
      </c>
      <c r="T843" s="1277" t="s">
        <v>413</v>
      </c>
      <c r="U843" s="620">
        <v>36.714999999999996</v>
      </c>
      <c r="V843" s="506"/>
      <c r="W843" s="506"/>
      <c r="X843" s="620">
        <v>1.8760000000000001</v>
      </c>
      <c r="Y843" s="823" t="s">
        <v>413</v>
      </c>
      <c r="Z843" s="831"/>
      <c r="AA843" s="926"/>
      <c r="AB843" s="802"/>
      <c r="AC843" s="939" t="s">
        <v>413</v>
      </c>
      <c r="AD843" s="826" t="s">
        <v>413</v>
      </c>
      <c r="AE843" s="826"/>
      <c r="AF843" s="802"/>
    </row>
    <row r="844" spans="1:32" ht="28.5">
      <c r="A844" s="997"/>
      <c r="B844" s="998"/>
      <c r="C844" s="999" t="s">
        <v>1247</v>
      </c>
      <c r="D844" s="1106"/>
      <c r="E844" s="1058"/>
      <c r="F844" s="1059"/>
      <c r="G844" s="1190"/>
      <c r="H844" s="1061"/>
      <c r="I844" s="1061"/>
      <c r="J844" s="1062"/>
      <c r="K844" s="1063"/>
      <c r="L844" s="1253"/>
      <c r="M844" s="1062"/>
      <c r="N844" s="1265" t="s">
        <v>413</v>
      </c>
      <c r="O844" s="817" t="s">
        <v>413</v>
      </c>
      <c r="P844" s="813"/>
      <c r="Q844" s="507">
        <v>0.067</v>
      </c>
      <c r="R844" s="201">
        <v>2088</v>
      </c>
      <c r="S844" s="201">
        <v>238</v>
      </c>
      <c r="T844" s="1280" t="s">
        <v>413</v>
      </c>
      <c r="U844" s="511">
        <v>33.91428571428571</v>
      </c>
      <c r="V844" s="1108"/>
      <c r="W844" s="1061"/>
      <c r="X844" s="511">
        <v>1.8760000000000001</v>
      </c>
      <c r="Y844" s="856" t="s">
        <v>413</v>
      </c>
      <c r="Z844" s="857"/>
      <c r="AA844" s="904"/>
      <c r="AB844" s="859"/>
      <c r="AC844" s="942" t="s">
        <v>413</v>
      </c>
      <c r="AD844" s="859" t="s">
        <v>413</v>
      </c>
      <c r="AE844" s="859"/>
      <c r="AF844" s="805"/>
    </row>
    <row r="845" spans="1:32" ht="14.25">
      <c r="A845" s="496"/>
      <c r="B845" s="761"/>
      <c r="C845" s="496"/>
      <c r="D845" s="510"/>
      <c r="E845" s="504"/>
      <c r="F845" s="509"/>
      <c r="G845" s="1053"/>
      <c r="H845" s="506"/>
      <c r="I845" s="506"/>
      <c r="J845" s="764"/>
      <c r="K845" s="495"/>
      <c r="L845" s="496"/>
      <c r="M845" s="764"/>
      <c r="N845" s="500" t="s">
        <v>413</v>
      </c>
      <c r="O845" s="788" t="s">
        <v>413</v>
      </c>
      <c r="P845" s="810"/>
      <c r="Q845" s="609">
        <v>0.1</v>
      </c>
      <c r="R845" s="610">
        <v>365.4</v>
      </c>
      <c r="S845" s="610">
        <v>63</v>
      </c>
      <c r="T845" s="1277" t="s">
        <v>413</v>
      </c>
      <c r="U845" s="620">
        <v>21.839999999999996</v>
      </c>
      <c r="V845" s="511"/>
      <c r="W845" s="506"/>
      <c r="X845" s="620">
        <v>2.8000000000000003</v>
      </c>
      <c r="Y845" s="823" t="s">
        <v>413</v>
      </c>
      <c r="Z845" s="831"/>
      <c r="AA845" s="866"/>
      <c r="AB845" s="802"/>
      <c r="AC845" s="939" t="s">
        <v>413</v>
      </c>
      <c r="AD845" s="826" t="s">
        <v>413</v>
      </c>
      <c r="AE845" s="826"/>
      <c r="AF845" s="802"/>
    </row>
    <row r="846" spans="1:32" ht="14.25">
      <c r="A846" s="987">
        <v>14000</v>
      </c>
      <c r="B846" s="988" t="s">
        <v>1501</v>
      </c>
      <c r="C846" s="989" t="s">
        <v>870</v>
      </c>
      <c r="D846" s="1021"/>
      <c r="E846" s="1022"/>
      <c r="F846" s="1023"/>
      <c r="G846" s="1024"/>
      <c r="H846" s="1025"/>
      <c r="I846" s="1025"/>
      <c r="J846" s="1026"/>
      <c r="K846" s="1026"/>
      <c r="L846" s="1021"/>
      <c r="M846" s="1026"/>
      <c r="N846" s="1263" t="s">
        <v>413</v>
      </c>
      <c r="O846" s="816" t="s">
        <v>413</v>
      </c>
      <c r="P846" s="809"/>
      <c r="Q846" s="507">
        <v>0.1</v>
      </c>
      <c r="R846" s="201">
        <v>522</v>
      </c>
      <c r="S846" s="201">
        <v>112</v>
      </c>
      <c r="T846" s="1276" t="s">
        <v>413</v>
      </c>
      <c r="U846" s="511">
        <v>32.3</v>
      </c>
      <c r="V846" s="1025"/>
      <c r="W846" s="1025"/>
      <c r="X846" s="511">
        <v>2.8000000000000003</v>
      </c>
      <c r="Y846" s="833" t="s">
        <v>413</v>
      </c>
      <c r="Z846" s="820"/>
      <c r="AA846" s="821"/>
      <c r="AB846" s="822"/>
      <c r="AC846" s="938" t="s">
        <v>413</v>
      </c>
      <c r="AD846" s="822" t="s">
        <v>413</v>
      </c>
      <c r="AE846" s="822"/>
      <c r="AF846" s="801">
        <v>14000</v>
      </c>
    </row>
    <row r="847" spans="1:32" ht="14.25">
      <c r="A847" s="496"/>
      <c r="B847" s="761"/>
      <c r="C847" s="496"/>
      <c r="D847" s="503"/>
      <c r="E847" s="504"/>
      <c r="F847" s="509"/>
      <c r="G847" s="1037"/>
      <c r="H847" s="506"/>
      <c r="I847" s="506"/>
      <c r="J847" s="764"/>
      <c r="K847" s="495"/>
      <c r="L847" s="496"/>
      <c r="M847" s="764"/>
      <c r="N847" s="500" t="s">
        <v>413</v>
      </c>
      <c r="O847" s="788" t="s">
        <v>413</v>
      </c>
      <c r="P847" s="810"/>
      <c r="Q847" s="609">
        <v>0.2</v>
      </c>
      <c r="R847" s="610">
        <v>400.2</v>
      </c>
      <c r="S847" s="610">
        <v>77</v>
      </c>
      <c r="T847" s="1277" t="s">
        <v>413</v>
      </c>
      <c r="U847" s="620">
        <v>24.32</v>
      </c>
      <c r="V847" s="506"/>
      <c r="W847" s="506"/>
      <c r="X847" s="620">
        <v>5.6000000000000005</v>
      </c>
      <c r="Y847" s="823" t="s">
        <v>413</v>
      </c>
      <c r="Z847" s="831"/>
      <c r="AA847" s="927"/>
      <c r="AB847" s="802"/>
      <c r="AC847" s="939" t="s">
        <v>413</v>
      </c>
      <c r="AD847" s="826" t="s">
        <v>413</v>
      </c>
      <c r="AE847" s="826"/>
      <c r="AF847" s="802"/>
    </row>
    <row r="848" spans="1:32" ht="14.25">
      <c r="A848" s="990">
        <v>14001</v>
      </c>
      <c r="B848" s="991"/>
      <c r="C848" s="991" t="s">
        <v>1248</v>
      </c>
      <c r="D848" s="1040">
        <v>50</v>
      </c>
      <c r="E848" s="1028">
        <v>4700</v>
      </c>
      <c r="F848" s="1041">
        <v>55</v>
      </c>
      <c r="G848" s="1067">
        <v>110</v>
      </c>
      <c r="H848" s="620">
        <v>94</v>
      </c>
      <c r="I848" s="620">
        <v>140</v>
      </c>
      <c r="J848" s="1043">
        <v>5</v>
      </c>
      <c r="K848" s="1032" t="s">
        <v>347</v>
      </c>
      <c r="L848" s="1251">
        <v>15</v>
      </c>
      <c r="M848" s="1043">
        <v>400</v>
      </c>
      <c r="N848" s="1264">
        <v>0.25</v>
      </c>
      <c r="O848" s="815">
        <v>1.9</v>
      </c>
      <c r="P848" s="812">
        <v>11</v>
      </c>
      <c r="Q848" s="507"/>
      <c r="R848" s="201" t="s">
        <v>413</v>
      </c>
      <c r="S848" s="201"/>
      <c r="T848" s="1278">
        <v>392.65</v>
      </c>
      <c r="U848" s="511"/>
      <c r="V848" s="620">
        <v>22.325</v>
      </c>
      <c r="W848" s="613"/>
      <c r="X848" s="511"/>
      <c r="Y848" s="846">
        <v>22.325</v>
      </c>
      <c r="Z848" s="828"/>
      <c r="AA848" s="838">
        <v>110.94050000000001</v>
      </c>
      <c r="AB848" s="830"/>
      <c r="AC848" s="940">
        <v>9.4</v>
      </c>
      <c r="AD848" s="830" t="s">
        <v>484</v>
      </c>
      <c r="AE848" s="830">
        <v>0</v>
      </c>
      <c r="AF848" s="803">
        <v>14001</v>
      </c>
    </row>
    <row r="849" spans="1:32" ht="14.25">
      <c r="A849" s="154">
        <v>14002</v>
      </c>
      <c r="B849" s="992"/>
      <c r="C849" s="992" t="s">
        <v>1249</v>
      </c>
      <c r="D849" s="510">
        <v>25</v>
      </c>
      <c r="E849" s="504">
        <v>5400</v>
      </c>
      <c r="F849" s="509">
        <v>50</v>
      </c>
      <c r="G849" s="1068">
        <v>200</v>
      </c>
      <c r="H849" s="511">
        <v>180</v>
      </c>
      <c r="I849" s="511">
        <v>240</v>
      </c>
      <c r="J849" s="766">
        <v>5</v>
      </c>
      <c r="K849" s="145" t="s">
        <v>347</v>
      </c>
      <c r="L849" s="492">
        <v>12</v>
      </c>
      <c r="M849" s="766">
        <v>250</v>
      </c>
      <c r="N849" s="500">
        <v>0.25</v>
      </c>
      <c r="O849" s="788">
        <v>3.7</v>
      </c>
      <c r="P849" s="492">
        <v>10</v>
      </c>
      <c r="Q849" s="603"/>
      <c r="R849" s="605" t="s">
        <v>413</v>
      </c>
      <c r="S849" s="606"/>
      <c r="T849" s="1277">
        <v>502.8</v>
      </c>
      <c r="U849" s="604"/>
      <c r="V849" s="511">
        <v>79.92000000000002</v>
      </c>
      <c r="W849" s="506"/>
      <c r="X849" s="604"/>
      <c r="Y849" s="848">
        <v>79.92000000000002</v>
      </c>
      <c r="Z849" s="831">
        <v>49.63200000000002</v>
      </c>
      <c r="AA849" s="861">
        <v>198.52800000000005</v>
      </c>
      <c r="AB849" s="826"/>
      <c r="AC849" s="939">
        <v>10.8</v>
      </c>
      <c r="AD849" s="826" t="s">
        <v>484</v>
      </c>
      <c r="AE849" s="826">
        <v>0</v>
      </c>
      <c r="AF849" s="804">
        <v>14002</v>
      </c>
    </row>
    <row r="850" spans="1:32" ht="14.25">
      <c r="A850" s="990">
        <v>14003</v>
      </c>
      <c r="B850" s="991"/>
      <c r="C850" s="991" t="s">
        <v>1250</v>
      </c>
      <c r="D850" s="1040">
        <v>25</v>
      </c>
      <c r="E850" s="1028">
        <v>7000</v>
      </c>
      <c r="F850" s="1041">
        <v>33</v>
      </c>
      <c r="G850" s="1067">
        <v>130</v>
      </c>
      <c r="H850" s="620">
        <v>120</v>
      </c>
      <c r="I850" s="620">
        <v>150</v>
      </c>
      <c r="J850" s="1043">
        <v>10</v>
      </c>
      <c r="K850" s="1032" t="s">
        <v>347</v>
      </c>
      <c r="L850" s="1251">
        <v>12</v>
      </c>
      <c r="M850" s="1043">
        <v>250</v>
      </c>
      <c r="N850" s="1264">
        <v>0.25</v>
      </c>
      <c r="O850" s="815">
        <v>1.9</v>
      </c>
      <c r="P850" s="812">
        <v>12</v>
      </c>
      <c r="Q850" s="507"/>
      <c r="R850" s="201" t="s">
        <v>413</v>
      </c>
      <c r="S850" s="201"/>
      <c r="T850" s="1278">
        <v>646</v>
      </c>
      <c r="U850" s="506"/>
      <c r="V850" s="620">
        <v>53.199999999999996</v>
      </c>
      <c r="W850" s="613"/>
      <c r="X850" s="506"/>
      <c r="Y850" s="846">
        <v>53.199999999999996</v>
      </c>
      <c r="Z850" s="828">
        <v>32.394999999999996</v>
      </c>
      <c r="AA850" s="838">
        <v>129.57999999999998</v>
      </c>
      <c r="AB850" s="830"/>
      <c r="AC850" s="940">
        <v>14</v>
      </c>
      <c r="AD850" s="830" t="s">
        <v>484</v>
      </c>
      <c r="AE850" s="830">
        <v>0</v>
      </c>
      <c r="AF850" s="803">
        <v>14003</v>
      </c>
    </row>
    <row r="851" spans="1:32" ht="14.25">
      <c r="A851" s="154">
        <v>14004</v>
      </c>
      <c r="B851" s="992"/>
      <c r="C851" s="992" t="s">
        <v>871</v>
      </c>
      <c r="D851" s="510">
        <v>20</v>
      </c>
      <c r="E851" s="504">
        <v>8600</v>
      </c>
      <c r="F851" s="509">
        <v>32</v>
      </c>
      <c r="G851" s="1068">
        <v>160</v>
      </c>
      <c r="H851" s="511">
        <v>140</v>
      </c>
      <c r="I851" s="511">
        <v>190</v>
      </c>
      <c r="J851" s="766">
        <v>10</v>
      </c>
      <c r="K851" s="145" t="s">
        <v>347</v>
      </c>
      <c r="L851" s="492">
        <v>12</v>
      </c>
      <c r="M851" s="766">
        <v>200</v>
      </c>
      <c r="N851" s="500">
        <v>0.1</v>
      </c>
      <c r="O851" s="788">
        <v>1.4</v>
      </c>
      <c r="P851" s="492">
        <v>9</v>
      </c>
      <c r="Q851" s="609">
        <v>0.02</v>
      </c>
      <c r="R851" s="610">
        <v>313.2</v>
      </c>
      <c r="S851" s="610">
        <v>91</v>
      </c>
      <c r="T851" s="1277">
        <v>853.8000000000001</v>
      </c>
      <c r="U851" s="649">
        <v>3.4283333333333332</v>
      </c>
      <c r="V851" s="511">
        <v>60.199999999999996</v>
      </c>
      <c r="W851" s="506"/>
      <c r="X851" s="649">
        <v>0.56</v>
      </c>
      <c r="Y851" s="848">
        <v>60.199999999999996</v>
      </c>
      <c r="Z851" s="831">
        <v>32.02760000000001</v>
      </c>
      <c r="AA851" s="861">
        <v>160.13800000000003</v>
      </c>
      <c r="AB851" s="826"/>
      <c r="AC851" s="939">
        <v>17.2</v>
      </c>
      <c r="AD851" s="826" t="s">
        <v>484</v>
      </c>
      <c r="AE851" s="826">
        <v>0</v>
      </c>
      <c r="AF851" s="804">
        <v>14004</v>
      </c>
    </row>
    <row r="852" spans="1:32" ht="14.25">
      <c r="A852" s="990">
        <v>14005</v>
      </c>
      <c r="B852" s="991"/>
      <c r="C852" s="991" t="s">
        <v>1054</v>
      </c>
      <c r="D852" s="1027">
        <v>7</v>
      </c>
      <c r="E852" s="1028">
        <v>10500</v>
      </c>
      <c r="F852" s="1049">
        <v>73</v>
      </c>
      <c r="G852" s="1038"/>
      <c r="H852" s="613">
        <v>62</v>
      </c>
      <c r="I852" s="613">
        <v>92</v>
      </c>
      <c r="J852" s="1031">
        <v>20</v>
      </c>
      <c r="K852" s="1032">
        <v>60</v>
      </c>
      <c r="L852" s="1251">
        <v>12</v>
      </c>
      <c r="M852" s="1232">
        <v>1500</v>
      </c>
      <c r="N852" s="1264">
        <v>0.25</v>
      </c>
      <c r="O852" s="815">
        <v>1.8</v>
      </c>
      <c r="P852" s="812">
        <v>12</v>
      </c>
      <c r="Q852" s="507">
        <v>0.1</v>
      </c>
      <c r="R852" s="201">
        <v>2001</v>
      </c>
      <c r="S852" s="201">
        <v>161</v>
      </c>
      <c r="T852" s="1278">
        <v>1017</v>
      </c>
      <c r="U852" s="506">
        <v>44.16</v>
      </c>
      <c r="V852" s="613">
        <v>12.6</v>
      </c>
      <c r="W852" s="613">
        <v>3.045</v>
      </c>
      <c r="X852" s="506">
        <v>2.8000000000000003</v>
      </c>
      <c r="Y852" s="827">
        <v>15.645</v>
      </c>
      <c r="Z852" s="828">
        <v>73.14450000000001</v>
      </c>
      <c r="AA852" s="837"/>
      <c r="AB852" s="830"/>
      <c r="AC852" s="940">
        <v>21</v>
      </c>
      <c r="AD852" s="830" t="s">
        <v>483</v>
      </c>
      <c r="AE852" s="830">
        <v>2</v>
      </c>
      <c r="AF852" s="803">
        <v>14005</v>
      </c>
    </row>
    <row r="853" spans="1:32" ht="14.25">
      <c r="A853" s="154">
        <v>14006</v>
      </c>
      <c r="B853" s="992"/>
      <c r="C853" s="992" t="s">
        <v>1055</v>
      </c>
      <c r="D853" s="503">
        <v>5</v>
      </c>
      <c r="E853" s="504">
        <v>5000</v>
      </c>
      <c r="F853" s="621">
        <v>50</v>
      </c>
      <c r="G853" s="1037"/>
      <c r="H853" s="506">
        <v>43</v>
      </c>
      <c r="I853" s="506">
        <v>61</v>
      </c>
      <c r="J853" s="764">
        <v>20</v>
      </c>
      <c r="K853" s="145">
        <v>95</v>
      </c>
      <c r="L853" s="492">
        <v>10</v>
      </c>
      <c r="M853" s="780">
        <v>1000</v>
      </c>
      <c r="N853" s="500">
        <v>0.25</v>
      </c>
      <c r="O853" s="788">
        <v>2.5</v>
      </c>
      <c r="P853" s="492">
        <v>9</v>
      </c>
      <c r="Q853" s="609">
        <v>0.1</v>
      </c>
      <c r="R853" s="610">
        <v>913.5</v>
      </c>
      <c r="S853" s="610">
        <v>84</v>
      </c>
      <c r="T853" s="1277">
        <v>589.5</v>
      </c>
      <c r="U853" s="608">
        <v>8.4875</v>
      </c>
      <c r="V853" s="506">
        <v>12.5</v>
      </c>
      <c r="W853" s="506">
        <v>3.44375</v>
      </c>
      <c r="X853" s="608">
        <v>2.8000000000000003</v>
      </c>
      <c r="Y853" s="823">
        <v>15.94375</v>
      </c>
      <c r="Z853" s="831">
        <v>49.96062500000001</v>
      </c>
      <c r="AA853" s="836"/>
      <c r="AB853" s="826"/>
      <c r="AC853" s="939">
        <v>10</v>
      </c>
      <c r="AD853" s="826" t="s">
        <v>483</v>
      </c>
      <c r="AE853" s="826">
        <v>2</v>
      </c>
      <c r="AF853" s="804">
        <v>14006</v>
      </c>
    </row>
    <row r="854" spans="1:32" ht="14.25">
      <c r="A854" s="990">
        <v>14007</v>
      </c>
      <c r="B854" s="991"/>
      <c r="C854" s="991" t="s">
        <v>1395</v>
      </c>
      <c r="D854" s="1040"/>
      <c r="E854" s="1028">
        <v>2400</v>
      </c>
      <c r="F854" s="1041"/>
      <c r="G854" s="1067">
        <v>37</v>
      </c>
      <c r="H854" s="620">
        <v>31</v>
      </c>
      <c r="I854" s="620">
        <v>46</v>
      </c>
      <c r="J854" s="1043">
        <v>10</v>
      </c>
      <c r="K854" s="1032" t="s">
        <v>347</v>
      </c>
      <c r="L854" s="1251">
        <v>12</v>
      </c>
      <c r="M854" s="1043">
        <v>750</v>
      </c>
      <c r="N854" s="1264">
        <v>0.25</v>
      </c>
      <c r="O854" s="815">
        <v>2.35</v>
      </c>
      <c r="P854" s="812">
        <v>10</v>
      </c>
      <c r="Q854" s="507">
        <v>0.1</v>
      </c>
      <c r="R854" s="201">
        <v>2610</v>
      </c>
      <c r="S854" s="201">
        <v>360</v>
      </c>
      <c r="T854" s="1278">
        <v>256.8</v>
      </c>
      <c r="U854" s="506">
        <v>28.083333333333332</v>
      </c>
      <c r="V854" s="620">
        <v>7.5200000000000005</v>
      </c>
      <c r="W854" s="613"/>
      <c r="X854" s="506">
        <v>2.8000000000000003</v>
      </c>
      <c r="Y854" s="846">
        <v>7.5200000000000005</v>
      </c>
      <c r="Z854" s="828"/>
      <c r="AA854" s="838">
        <v>36.52</v>
      </c>
      <c r="AB854" s="830"/>
      <c r="AC854" s="940">
        <v>4.8</v>
      </c>
      <c r="AD854" s="830" t="s">
        <v>484</v>
      </c>
      <c r="AE854" s="830">
        <v>0</v>
      </c>
      <c r="AF854" s="803">
        <v>14007</v>
      </c>
    </row>
    <row r="855" spans="1:32" ht="14.25">
      <c r="A855" s="154">
        <v>14008</v>
      </c>
      <c r="B855" s="992"/>
      <c r="C855" s="992" t="s">
        <v>1251</v>
      </c>
      <c r="D855" s="1090">
        <v>2.6</v>
      </c>
      <c r="E855" s="504">
        <v>21500</v>
      </c>
      <c r="F855" s="509">
        <v>114</v>
      </c>
      <c r="G855" s="1091">
        <v>44</v>
      </c>
      <c r="H855" s="1092">
        <v>37</v>
      </c>
      <c r="I855" s="1092">
        <v>55</v>
      </c>
      <c r="J855" s="1093">
        <v>80</v>
      </c>
      <c r="K855" s="210"/>
      <c r="L855" s="492">
        <v>10</v>
      </c>
      <c r="M855" s="1093">
        <v>3000</v>
      </c>
      <c r="N855" s="500">
        <v>0.25</v>
      </c>
      <c r="O855" s="788">
        <v>1.5</v>
      </c>
      <c r="P855" s="492">
        <v>50</v>
      </c>
      <c r="Q855" s="609">
        <v>0.0333</v>
      </c>
      <c r="R855" s="610">
        <v>126.65</v>
      </c>
      <c r="S855" s="610">
        <v>77</v>
      </c>
      <c r="T855" s="1277">
        <v>2331.75</v>
      </c>
      <c r="U855" s="633">
        <v>2.760666666666667</v>
      </c>
      <c r="V855" s="1092">
        <v>10.75</v>
      </c>
      <c r="W855" s="1092"/>
      <c r="X855" s="633">
        <v>0.9324000000000001</v>
      </c>
      <c r="Y855" s="864">
        <v>10.75</v>
      </c>
      <c r="Z855" s="831"/>
      <c r="AA855" s="866">
        <v>43.886562500000004</v>
      </c>
      <c r="AB855" s="826"/>
      <c r="AC855" s="939">
        <v>43</v>
      </c>
      <c r="AD855" s="826" t="s">
        <v>485</v>
      </c>
      <c r="AE855" s="826">
        <v>0</v>
      </c>
      <c r="AF855" s="804">
        <v>14008</v>
      </c>
    </row>
    <row r="856" spans="1:32" ht="14.25">
      <c r="A856" s="154"/>
      <c r="B856" s="992"/>
      <c r="C856" s="154"/>
      <c r="E856" s="504"/>
      <c r="F856" s="493"/>
      <c r="G856" s="1033"/>
      <c r="H856" s="494"/>
      <c r="I856" s="494"/>
      <c r="L856" s="492"/>
      <c r="N856" s="500" t="s">
        <v>413</v>
      </c>
      <c r="O856" s="788" t="s">
        <v>413</v>
      </c>
      <c r="P856" s="492"/>
      <c r="Q856" s="507">
        <v>0.0333</v>
      </c>
      <c r="R856" s="201">
        <v>89.4</v>
      </c>
      <c r="S856" s="201">
        <v>63</v>
      </c>
      <c r="T856" s="1277" t="s">
        <v>413</v>
      </c>
      <c r="U856" s="520">
        <v>2.064</v>
      </c>
      <c r="V856" s="494"/>
      <c r="W856" s="494"/>
      <c r="X856" s="520">
        <v>0.9324000000000001</v>
      </c>
      <c r="Y856" s="823" t="s">
        <v>413</v>
      </c>
      <c r="Z856" s="850"/>
      <c r="AA856" s="839"/>
      <c r="AB856" s="826"/>
      <c r="AC856" s="939" t="s">
        <v>413</v>
      </c>
      <c r="AD856" s="826" t="s">
        <v>413</v>
      </c>
      <c r="AE856" s="541"/>
      <c r="AF856" s="804"/>
    </row>
    <row r="857" spans="1:32" ht="14.25">
      <c r="A857" s="987">
        <v>14020</v>
      </c>
      <c r="B857" s="988"/>
      <c r="C857" s="989" t="s">
        <v>872</v>
      </c>
      <c r="D857" s="1021"/>
      <c r="E857" s="1022"/>
      <c r="F857" s="1023"/>
      <c r="G857" s="1024"/>
      <c r="H857" s="1025"/>
      <c r="I857" s="1025"/>
      <c r="J857" s="1026"/>
      <c r="K857" s="1026"/>
      <c r="L857" s="1021"/>
      <c r="M857" s="1026"/>
      <c r="N857" s="1263" t="s">
        <v>413</v>
      </c>
      <c r="O857" s="816" t="s">
        <v>413</v>
      </c>
      <c r="P857" s="809"/>
      <c r="Q857" s="609">
        <v>0.0333</v>
      </c>
      <c r="R857" s="610">
        <v>402.3</v>
      </c>
      <c r="S857" s="610">
        <v>217</v>
      </c>
      <c r="T857" s="1276" t="s">
        <v>413</v>
      </c>
      <c r="U857" s="633">
        <v>8.401333333333332</v>
      </c>
      <c r="V857" s="1025"/>
      <c r="W857" s="1025"/>
      <c r="X857" s="633">
        <v>0.9324000000000001</v>
      </c>
      <c r="Y857" s="833" t="s">
        <v>413</v>
      </c>
      <c r="Z857" s="820"/>
      <c r="AA857" s="821"/>
      <c r="AB857" s="822"/>
      <c r="AC857" s="938" t="s">
        <v>413</v>
      </c>
      <c r="AD857" s="822" t="s">
        <v>413</v>
      </c>
      <c r="AE857" s="822"/>
      <c r="AF857" s="801">
        <v>14020</v>
      </c>
    </row>
    <row r="858" spans="1:32" ht="14.25">
      <c r="A858" s="496"/>
      <c r="B858" s="761"/>
      <c r="C858" s="496"/>
      <c r="D858" s="510"/>
      <c r="E858" s="504"/>
      <c r="F858" s="509"/>
      <c r="G858" s="1065"/>
      <c r="H858" s="511"/>
      <c r="I858" s="511"/>
      <c r="J858" s="766"/>
      <c r="K858" s="495"/>
      <c r="L858" s="496"/>
      <c r="M858" s="766"/>
      <c r="N858" s="500" t="s">
        <v>413</v>
      </c>
      <c r="O858" s="788" t="s">
        <v>413</v>
      </c>
      <c r="P858" s="810"/>
      <c r="Q858" s="507">
        <v>0.05</v>
      </c>
      <c r="R858" s="201">
        <v>1655.8</v>
      </c>
      <c r="S858" s="201">
        <v>126</v>
      </c>
      <c r="T858" s="1277" t="s">
        <v>413</v>
      </c>
      <c r="U858" s="506">
        <v>4.5395</v>
      </c>
      <c r="V858" s="511"/>
      <c r="W858" s="506"/>
      <c r="X858" s="506">
        <v>1.4000000000000001</v>
      </c>
      <c r="Y858" s="823" t="s">
        <v>413</v>
      </c>
      <c r="Z858" s="831"/>
      <c r="AA858" s="861"/>
      <c r="AB858" s="802"/>
      <c r="AC858" s="939" t="s">
        <v>413</v>
      </c>
      <c r="AD858" s="826" t="s">
        <v>413</v>
      </c>
      <c r="AE858" s="826"/>
      <c r="AF858" s="802"/>
    </row>
    <row r="859" spans="1:32" ht="14.25">
      <c r="A859" s="990">
        <v>14021</v>
      </c>
      <c r="B859" s="991"/>
      <c r="C859" s="991" t="s">
        <v>1252</v>
      </c>
      <c r="D859" s="1040"/>
      <c r="E859" s="1028">
        <v>6600</v>
      </c>
      <c r="F859" s="1049">
        <v>46</v>
      </c>
      <c r="G859" s="1052"/>
      <c r="H859" s="613">
        <v>40</v>
      </c>
      <c r="I859" s="613">
        <v>57</v>
      </c>
      <c r="J859" s="1232">
        <v>20</v>
      </c>
      <c r="K859" s="1032" t="s">
        <v>347</v>
      </c>
      <c r="L859" s="1251">
        <v>12</v>
      </c>
      <c r="M859" s="1232">
        <v>500</v>
      </c>
      <c r="N859" s="1264">
        <v>0.25</v>
      </c>
      <c r="O859" s="815">
        <v>0.9</v>
      </c>
      <c r="P859" s="812">
        <v>10</v>
      </c>
      <c r="Q859" s="609">
        <v>0.05</v>
      </c>
      <c r="R859" s="610">
        <v>3214.2</v>
      </c>
      <c r="S859" s="610">
        <v>168</v>
      </c>
      <c r="T859" s="1278">
        <v>601.2</v>
      </c>
      <c r="U859" s="608">
        <v>8.6205</v>
      </c>
      <c r="V859" s="613">
        <v>11.879999999999999</v>
      </c>
      <c r="W859" s="613"/>
      <c r="X859" s="608">
        <v>1.4000000000000001</v>
      </c>
      <c r="Y859" s="827">
        <v>11.879999999999999</v>
      </c>
      <c r="Z859" s="828">
        <v>46.134</v>
      </c>
      <c r="AA859" s="838"/>
      <c r="AB859" s="830"/>
      <c r="AC859" s="940">
        <v>13.200000000000001</v>
      </c>
      <c r="AD859" s="830" t="s">
        <v>483</v>
      </c>
      <c r="AE859" s="830">
        <v>0</v>
      </c>
      <c r="AF859" s="803">
        <v>14021</v>
      </c>
    </row>
    <row r="860" spans="1:32" ht="28.5">
      <c r="A860" s="154">
        <v>14022</v>
      </c>
      <c r="B860" s="992"/>
      <c r="C860" s="992" t="s">
        <v>1253</v>
      </c>
      <c r="D860" s="503">
        <v>7</v>
      </c>
      <c r="E860" s="504">
        <v>7600</v>
      </c>
      <c r="F860" s="621">
        <v>58</v>
      </c>
      <c r="G860" s="1037"/>
      <c r="H860" s="506">
        <v>50</v>
      </c>
      <c r="I860" s="506">
        <v>71</v>
      </c>
      <c r="J860" s="780">
        <v>20</v>
      </c>
      <c r="K860" s="145">
        <v>70</v>
      </c>
      <c r="L860" s="492">
        <v>12</v>
      </c>
      <c r="M860" s="780">
        <v>500</v>
      </c>
      <c r="N860" s="500">
        <v>0.25</v>
      </c>
      <c r="O860" s="788">
        <v>0.85</v>
      </c>
      <c r="P860" s="492">
        <v>8</v>
      </c>
      <c r="Q860" s="507">
        <v>0.05</v>
      </c>
      <c r="R860" s="201">
        <v>5844</v>
      </c>
      <c r="S860" s="201">
        <v>203</v>
      </c>
      <c r="T860" s="1277">
        <v>727.2</v>
      </c>
      <c r="U860" s="506">
        <v>15.4175</v>
      </c>
      <c r="V860" s="506">
        <v>12.92</v>
      </c>
      <c r="W860" s="506">
        <v>3.5525</v>
      </c>
      <c r="X860" s="506">
        <v>1.4000000000000001</v>
      </c>
      <c r="Y860" s="823">
        <v>16.4725</v>
      </c>
      <c r="Z860" s="831">
        <v>58.11575</v>
      </c>
      <c r="AA860" s="836"/>
      <c r="AB860" s="826"/>
      <c r="AC860" s="939">
        <v>15.200000000000001</v>
      </c>
      <c r="AD860" s="826" t="s">
        <v>483</v>
      </c>
      <c r="AE860" s="826">
        <v>2</v>
      </c>
      <c r="AF860" s="804">
        <v>14022</v>
      </c>
    </row>
    <row r="861" spans="1:32" ht="14.25">
      <c r="A861" s="990">
        <v>14025</v>
      </c>
      <c r="B861" s="991"/>
      <c r="C861" s="991" t="s">
        <v>1254</v>
      </c>
      <c r="D861" s="1027">
        <v>8</v>
      </c>
      <c r="E861" s="1028">
        <v>5600</v>
      </c>
      <c r="F861" s="1049">
        <v>26</v>
      </c>
      <c r="G861" s="1038"/>
      <c r="H861" s="613">
        <v>23.5</v>
      </c>
      <c r="I861" s="613">
        <v>31</v>
      </c>
      <c r="J861" s="1031">
        <v>40</v>
      </c>
      <c r="K861" s="1032">
        <v>70</v>
      </c>
      <c r="L861" s="1251">
        <v>12</v>
      </c>
      <c r="M861" s="1232">
        <v>1000</v>
      </c>
      <c r="N861" s="1264">
        <v>0.25</v>
      </c>
      <c r="O861" s="815">
        <v>1.1</v>
      </c>
      <c r="P861" s="812">
        <v>7</v>
      </c>
      <c r="Q861" s="609">
        <v>0.05</v>
      </c>
      <c r="R861" s="610">
        <v>3798.6</v>
      </c>
      <c r="S861" s="610">
        <v>126</v>
      </c>
      <c r="T861" s="1278">
        <v>550.2</v>
      </c>
      <c r="U861" s="608">
        <v>13.342</v>
      </c>
      <c r="V861" s="613">
        <v>6.16</v>
      </c>
      <c r="W861" s="613">
        <v>4.0600000000000005</v>
      </c>
      <c r="X861" s="608">
        <v>1.4000000000000001</v>
      </c>
      <c r="Y861" s="827">
        <v>10.22</v>
      </c>
      <c r="Z861" s="828">
        <v>26.372500000000002</v>
      </c>
      <c r="AA861" s="837"/>
      <c r="AB861" s="830"/>
      <c r="AC861" s="940">
        <v>11.200000000000001</v>
      </c>
      <c r="AD861" s="830" t="s">
        <v>483</v>
      </c>
      <c r="AE861" s="830">
        <v>2</v>
      </c>
      <c r="AF861" s="803">
        <v>14025</v>
      </c>
    </row>
    <row r="862" spans="1:32" ht="14.25">
      <c r="A862" s="154">
        <v>14026</v>
      </c>
      <c r="B862" s="992"/>
      <c r="C862" s="992" t="s">
        <v>1255</v>
      </c>
      <c r="D862" s="510"/>
      <c r="E862" s="504">
        <v>6700</v>
      </c>
      <c r="F862" s="621">
        <v>33</v>
      </c>
      <c r="G862" s="1065"/>
      <c r="H862" s="506">
        <v>30</v>
      </c>
      <c r="I862" s="506">
        <v>39</v>
      </c>
      <c r="J862" s="764">
        <v>40</v>
      </c>
      <c r="K862" s="145" t="s">
        <v>347</v>
      </c>
      <c r="L862" s="492">
        <v>12</v>
      </c>
      <c r="M862" s="780">
        <v>1000</v>
      </c>
      <c r="N862" s="500">
        <v>0.25</v>
      </c>
      <c r="O862" s="788">
        <v>2.15</v>
      </c>
      <c r="P862" s="492">
        <v>13</v>
      </c>
      <c r="Q862" s="507">
        <v>0.05</v>
      </c>
      <c r="R862" s="201">
        <v>6406.8</v>
      </c>
      <c r="S862" s="201">
        <v>217</v>
      </c>
      <c r="T862" s="1277">
        <v>627.4</v>
      </c>
      <c r="U862" s="506">
        <v>11.229666666666667</v>
      </c>
      <c r="V862" s="506">
        <v>14.405</v>
      </c>
      <c r="W862" s="506"/>
      <c r="X862" s="506">
        <v>1.4000000000000001</v>
      </c>
      <c r="Y862" s="823">
        <v>14.405</v>
      </c>
      <c r="Z862" s="831">
        <v>33.099</v>
      </c>
      <c r="AA862" s="861"/>
      <c r="AB862" s="826"/>
      <c r="AC862" s="939">
        <v>13.4</v>
      </c>
      <c r="AD862" s="826" t="s">
        <v>483</v>
      </c>
      <c r="AE862" s="826">
        <v>0</v>
      </c>
      <c r="AF862" s="804">
        <v>14026</v>
      </c>
    </row>
    <row r="863" spans="1:32" ht="14.25">
      <c r="A863" s="990">
        <v>14027</v>
      </c>
      <c r="B863" s="991"/>
      <c r="C863" s="991" t="s">
        <v>873</v>
      </c>
      <c r="D863" s="1040"/>
      <c r="E863" s="1028">
        <v>12500</v>
      </c>
      <c r="F863" s="1049">
        <v>39</v>
      </c>
      <c r="G863" s="1066"/>
      <c r="H863" s="613">
        <v>34</v>
      </c>
      <c r="I863" s="613">
        <v>47</v>
      </c>
      <c r="J863" s="1031">
        <v>50</v>
      </c>
      <c r="K863" s="1032" t="s">
        <v>347</v>
      </c>
      <c r="L863" s="1251">
        <v>12</v>
      </c>
      <c r="M863" s="1232">
        <v>1200</v>
      </c>
      <c r="N863" s="1264">
        <v>0.25</v>
      </c>
      <c r="O863" s="815">
        <v>1.3</v>
      </c>
      <c r="P863" s="812">
        <v>13</v>
      </c>
      <c r="Q863" s="609">
        <v>0.05</v>
      </c>
      <c r="R863" s="610">
        <v>847.3800000000001</v>
      </c>
      <c r="S863" s="610">
        <v>294</v>
      </c>
      <c r="T863" s="1278">
        <v>1103</v>
      </c>
      <c r="U863" s="608">
        <v>2.8969500000000004</v>
      </c>
      <c r="V863" s="613">
        <v>13.541666666666666</v>
      </c>
      <c r="W863" s="613"/>
      <c r="X863" s="608">
        <v>1.4000000000000001</v>
      </c>
      <c r="Y863" s="827">
        <v>13.541666666666666</v>
      </c>
      <c r="Z863" s="828">
        <v>39.161833333333334</v>
      </c>
      <c r="AA863" s="838"/>
      <c r="AB863" s="830"/>
      <c r="AC863" s="940">
        <v>25</v>
      </c>
      <c r="AD863" s="830" t="s">
        <v>483</v>
      </c>
      <c r="AE863" s="830">
        <v>0</v>
      </c>
      <c r="AF863" s="803">
        <v>14027</v>
      </c>
    </row>
    <row r="864" spans="1:32" ht="14.25">
      <c r="A864" s="154">
        <v>14028</v>
      </c>
      <c r="B864" s="992"/>
      <c r="C864" s="992" t="s">
        <v>874</v>
      </c>
      <c r="D864" s="510"/>
      <c r="E864" s="504">
        <v>5100</v>
      </c>
      <c r="F864" s="621">
        <v>14.5</v>
      </c>
      <c r="G864" s="1053"/>
      <c r="H864" s="506">
        <v>12.5</v>
      </c>
      <c r="I864" s="506">
        <v>17</v>
      </c>
      <c r="J864" s="764">
        <v>60</v>
      </c>
      <c r="K864" s="145" t="s">
        <v>347</v>
      </c>
      <c r="L864" s="492">
        <v>12</v>
      </c>
      <c r="M864" s="780">
        <v>1500</v>
      </c>
      <c r="N864" s="500">
        <v>0.25</v>
      </c>
      <c r="O864" s="788">
        <v>1.6</v>
      </c>
      <c r="P864" s="492">
        <v>7</v>
      </c>
      <c r="Q864" s="507">
        <v>0.05</v>
      </c>
      <c r="R864" s="201">
        <v>2235</v>
      </c>
      <c r="S864" s="201">
        <v>147</v>
      </c>
      <c r="T864" s="1277">
        <v>460.2</v>
      </c>
      <c r="U864" s="520">
        <v>12.21</v>
      </c>
      <c r="V864" s="506">
        <v>5.44</v>
      </c>
      <c r="W864" s="506"/>
      <c r="X864" s="520">
        <v>1.4000000000000001</v>
      </c>
      <c r="Y864" s="823">
        <v>5.44</v>
      </c>
      <c r="Z864" s="831">
        <v>14.421000000000001</v>
      </c>
      <c r="AA864" s="861"/>
      <c r="AB864" s="826"/>
      <c r="AC864" s="939">
        <v>10.200000000000001</v>
      </c>
      <c r="AD864" s="826" t="s">
        <v>483</v>
      </c>
      <c r="AE864" s="826">
        <v>0</v>
      </c>
      <c r="AF864" s="804">
        <v>14028</v>
      </c>
    </row>
    <row r="865" spans="1:32" ht="14.25">
      <c r="A865" s="990">
        <v>14029</v>
      </c>
      <c r="B865" s="991"/>
      <c r="C865" s="991" t="s">
        <v>875</v>
      </c>
      <c r="D865" s="1040">
        <v>12</v>
      </c>
      <c r="E865" s="1028">
        <v>6000</v>
      </c>
      <c r="F865" s="1041">
        <v>6.5</v>
      </c>
      <c r="G865" s="1067">
        <v>56</v>
      </c>
      <c r="H865" s="620">
        <v>48</v>
      </c>
      <c r="I865" s="620">
        <v>69</v>
      </c>
      <c r="J865" s="1043">
        <v>15</v>
      </c>
      <c r="K865" s="1032" t="s">
        <v>347</v>
      </c>
      <c r="L865" s="1251">
        <v>12</v>
      </c>
      <c r="M865" s="1043">
        <v>400</v>
      </c>
      <c r="N865" s="1264">
        <v>0.25</v>
      </c>
      <c r="O865" s="815">
        <v>1</v>
      </c>
      <c r="P865" s="812">
        <v>7</v>
      </c>
      <c r="Q865" s="507"/>
      <c r="R865" s="201" t="s">
        <v>413</v>
      </c>
      <c r="S865" s="201"/>
      <c r="T865" s="1278">
        <v>534</v>
      </c>
      <c r="U865" s="543"/>
      <c r="V865" s="620">
        <v>15</v>
      </c>
      <c r="W865" s="613"/>
      <c r="X865" s="543"/>
      <c r="Y865" s="846">
        <v>15</v>
      </c>
      <c r="Z865" s="828">
        <v>6.679200000000001</v>
      </c>
      <c r="AA865" s="838">
        <v>55.660000000000004</v>
      </c>
      <c r="AB865" s="830"/>
      <c r="AC865" s="940">
        <v>12</v>
      </c>
      <c r="AD865" s="830" t="s">
        <v>483</v>
      </c>
      <c r="AE865" s="830">
        <v>0</v>
      </c>
      <c r="AF865" s="803">
        <v>14029</v>
      </c>
    </row>
    <row r="866" spans="1:32" ht="14.25">
      <c r="A866" s="154">
        <v>14031</v>
      </c>
      <c r="B866" s="992"/>
      <c r="C866" s="992" t="s">
        <v>1256</v>
      </c>
      <c r="D866" s="510">
        <v>30</v>
      </c>
      <c r="E866" s="504">
        <v>10500</v>
      </c>
      <c r="F866" s="509">
        <v>15</v>
      </c>
      <c r="G866" s="1068">
        <v>50</v>
      </c>
      <c r="H866" s="511">
        <v>44</v>
      </c>
      <c r="I866" s="511">
        <v>62</v>
      </c>
      <c r="J866" s="766">
        <v>30</v>
      </c>
      <c r="K866" s="145" t="s">
        <v>347</v>
      </c>
      <c r="L866" s="492">
        <v>12</v>
      </c>
      <c r="M866" s="766">
        <v>700</v>
      </c>
      <c r="N866" s="500">
        <v>0.25</v>
      </c>
      <c r="O866" s="788">
        <v>1</v>
      </c>
      <c r="P866" s="492">
        <v>10</v>
      </c>
      <c r="Q866" s="603"/>
      <c r="R866" s="605" t="s">
        <v>413</v>
      </c>
      <c r="S866" s="606"/>
      <c r="T866" s="1277">
        <v>921</v>
      </c>
      <c r="U866" s="604"/>
      <c r="V866" s="511">
        <v>15</v>
      </c>
      <c r="W866" s="506"/>
      <c r="X866" s="604"/>
      <c r="Y866" s="848">
        <v>15</v>
      </c>
      <c r="Z866" s="831">
        <v>15.081000000000003</v>
      </c>
      <c r="AA866" s="861">
        <v>50.27000000000001</v>
      </c>
      <c r="AB866" s="826"/>
      <c r="AC866" s="939">
        <v>21</v>
      </c>
      <c r="AD866" s="826" t="s">
        <v>484</v>
      </c>
      <c r="AE866" s="826">
        <v>0</v>
      </c>
      <c r="AF866" s="804">
        <v>14031</v>
      </c>
    </row>
    <row r="867" spans="1:32" ht="14.25">
      <c r="A867" s="990">
        <v>14033</v>
      </c>
      <c r="B867" s="991"/>
      <c r="C867" s="991" t="s">
        <v>1367</v>
      </c>
      <c r="D867" s="1040">
        <v>30</v>
      </c>
      <c r="E867" s="1028">
        <v>10000</v>
      </c>
      <c r="F867" s="1041">
        <v>14</v>
      </c>
      <c r="G867" s="1067">
        <v>47</v>
      </c>
      <c r="H867" s="620">
        <v>41</v>
      </c>
      <c r="I867" s="620">
        <v>58</v>
      </c>
      <c r="J867" s="1043">
        <v>30</v>
      </c>
      <c r="K867" s="1032" t="s">
        <v>347</v>
      </c>
      <c r="L867" s="1251">
        <v>12</v>
      </c>
      <c r="M867" s="1043">
        <v>700</v>
      </c>
      <c r="N867" s="1264">
        <v>0.25</v>
      </c>
      <c r="O867" s="815">
        <v>1</v>
      </c>
      <c r="P867" s="812">
        <v>7</v>
      </c>
      <c r="Q867" s="507"/>
      <c r="R867" s="201" t="s">
        <v>413</v>
      </c>
      <c r="S867" s="201"/>
      <c r="T867" s="1278">
        <v>862</v>
      </c>
      <c r="U867" s="511"/>
      <c r="V867" s="620">
        <v>14.285714285714286</v>
      </c>
      <c r="W867" s="613"/>
      <c r="X867" s="506"/>
      <c r="Y867" s="846">
        <v>14.285714285714286</v>
      </c>
      <c r="Z867" s="828">
        <v>14.196285714285716</v>
      </c>
      <c r="AA867" s="838">
        <v>47.320952380952384</v>
      </c>
      <c r="AB867" s="830"/>
      <c r="AC867" s="940">
        <v>20</v>
      </c>
      <c r="AD867" s="830" t="s">
        <v>484</v>
      </c>
      <c r="AE867" s="830">
        <v>0</v>
      </c>
      <c r="AF867" s="803">
        <v>14033</v>
      </c>
    </row>
    <row r="868" spans="1:32" ht="14.25">
      <c r="A868" s="154">
        <v>14032</v>
      </c>
      <c r="B868" s="992"/>
      <c r="C868" s="992" t="s">
        <v>1257</v>
      </c>
      <c r="D868" s="510">
        <v>25</v>
      </c>
      <c r="E868" s="504">
        <v>12500</v>
      </c>
      <c r="F868" s="509">
        <v>26</v>
      </c>
      <c r="G868" s="1068">
        <v>103</v>
      </c>
      <c r="H868" s="511">
        <v>90</v>
      </c>
      <c r="I868" s="511">
        <v>130</v>
      </c>
      <c r="J868" s="766">
        <v>15</v>
      </c>
      <c r="K868" s="145" t="s">
        <v>347</v>
      </c>
      <c r="L868" s="492">
        <v>12</v>
      </c>
      <c r="M868" s="766">
        <v>400</v>
      </c>
      <c r="N868" s="500">
        <v>0.25</v>
      </c>
      <c r="O868" s="788">
        <v>0.65</v>
      </c>
      <c r="P868" s="492">
        <v>13</v>
      </c>
      <c r="Q868" s="609">
        <v>0.04</v>
      </c>
      <c r="R868" s="610">
        <v>1490</v>
      </c>
      <c r="S868" s="651">
        <v>203</v>
      </c>
      <c r="T868" s="1277">
        <v>1103</v>
      </c>
      <c r="U868" s="616">
        <v>17.33</v>
      </c>
      <c r="V868" s="511">
        <v>20.3125</v>
      </c>
      <c r="W868" s="506"/>
      <c r="X868" s="616">
        <v>1.12</v>
      </c>
      <c r="Y868" s="848">
        <v>20.3125</v>
      </c>
      <c r="Z868" s="831">
        <v>25.80760416666667</v>
      </c>
      <c r="AA868" s="861">
        <v>103.23041666666667</v>
      </c>
      <c r="AB868" s="826"/>
      <c r="AC868" s="939">
        <v>25</v>
      </c>
      <c r="AD868" s="826" t="s">
        <v>484</v>
      </c>
      <c r="AE868" s="826">
        <v>0</v>
      </c>
      <c r="AF868" s="804">
        <v>14032</v>
      </c>
    </row>
    <row r="869" spans="1:32" ht="14.25">
      <c r="A869" s="496"/>
      <c r="B869" s="761"/>
      <c r="C869" s="496"/>
      <c r="D869" s="510"/>
      <c r="E869" s="504"/>
      <c r="F869" s="509"/>
      <c r="G869" s="1233"/>
      <c r="H869" s="511"/>
      <c r="I869" s="511"/>
      <c r="J869" s="766"/>
      <c r="K869" s="495"/>
      <c r="L869" s="496"/>
      <c r="M869" s="766"/>
      <c r="N869" s="500" t="s">
        <v>413</v>
      </c>
      <c r="O869" s="788" t="s">
        <v>413</v>
      </c>
      <c r="P869" s="810"/>
      <c r="Q869" s="507">
        <v>0.1</v>
      </c>
      <c r="R869" s="201">
        <v>1120.1</v>
      </c>
      <c r="S869" s="201">
        <v>49</v>
      </c>
      <c r="T869" s="1277" t="s">
        <v>413</v>
      </c>
      <c r="U869" s="506">
        <v>29.8025</v>
      </c>
      <c r="V869" s="511"/>
      <c r="W869" s="506"/>
      <c r="X869" s="506">
        <v>2.8000000000000003</v>
      </c>
      <c r="Y869" s="823" t="s">
        <v>413</v>
      </c>
      <c r="Z869" s="831"/>
      <c r="AA869" s="861"/>
      <c r="AB869" s="802"/>
      <c r="AC869" s="939" t="s">
        <v>413</v>
      </c>
      <c r="AD869" s="826" t="s">
        <v>413</v>
      </c>
      <c r="AE869" s="826"/>
      <c r="AF869" s="802"/>
    </row>
    <row r="870" spans="1:32" ht="14.25">
      <c r="A870" s="987">
        <v>14040</v>
      </c>
      <c r="B870" s="988"/>
      <c r="C870" s="989" t="s">
        <v>876</v>
      </c>
      <c r="D870" s="1021"/>
      <c r="E870" s="1022"/>
      <c r="F870" s="1023"/>
      <c r="G870" s="1024"/>
      <c r="H870" s="1025"/>
      <c r="I870" s="1025"/>
      <c r="J870" s="1026"/>
      <c r="K870" s="1026"/>
      <c r="L870" s="1021"/>
      <c r="M870" s="1026"/>
      <c r="N870" s="1263" t="s">
        <v>413</v>
      </c>
      <c r="O870" s="816" t="s">
        <v>413</v>
      </c>
      <c r="P870" s="809"/>
      <c r="Q870" s="630">
        <v>0.125</v>
      </c>
      <c r="R870" s="610">
        <v>1791</v>
      </c>
      <c r="S870" s="610">
        <v>350</v>
      </c>
      <c r="T870" s="1276" t="s">
        <v>413</v>
      </c>
      <c r="U870" s="632">
        <v>27.2125</v>
      </c>
      <c r="V870" s="1025"/>
      <c r="W870" s="1025"/>
      <c r="X870" s="633">
        <v>3.5</v>
      </c>
      <c r="Y870" s="833" t="s">
        <v>413</v>
      </c>
      <c r="Z870" s="820"/>
      <c r="AA870" s="821"/>
      <c r="AB870" s="822"/>
      <c r="AC870" s="938" t="s">
        <v>413</v>
      </c>
      <c r="AD870" s="822" t="s">
        <v>413</v>
      </c>
      <c r="AE870" s="822"/>
      <c r="AF870" s="801">
        <v>14040</v>
      </c>
    </row>
    <row r="871" spans="1:32" ht="14.25">
      <c r="A871" s="496"/>
      <c r="B871" s="761"/>
      <c r="C871" s="496"/>
      <c r="D871" s="503"/>
      <c r="E871" s="504"/>
      <c r="F871" s="509"/>
      <c r="G871" s="1037"/>
      <c r="H871" s="506"/>
      <c r="I871" s="506"/>
      <c r="J871" s="764"/>
      <c r="K871" s="495"/>
      <c r="L871" s="496"/>
      <c r="M871" s="764"/>
      <c r="N871" s="500" t="s">
        <v>413</v>
      </c>
      <c r="O871" s="788" t="s">
        <v>413</v>
      </c>
      <c r="P871" s="810"/>
      <c r="Q871" s="507">
        <v>0.05</v>
      </c>
      <c r="R871" s="201">
        <v>495.9</v>
      </c>
      <c r="S871" s="203">
        <v>49</v>
      </c>
      <c r="T871" s="1277" t="s">
        <v>413</v>
      </c>
      <c r="U871" s="516">
        <v>11.126</v>
      </c>
      <c r="V871" s="506"/>
      <c r="W871" s="506"/>
      <c r="X871" s="516">
        <v>1.4000000000000001</v>
      </c>
      <c r="Y871" s="823" t="s">
        <v>413</v>
      </c>
      <c r="Z871" s="831"/>
      <c r="AA871" s="927"/>
      <c r="AB871" s="802"/>
      <c r="AC871" s="939" t="s">
        <v>413</v>
      </c>
      <c r="AD871" s="826" t="s">
        <v>413</v>
      </c>
      <c r="AE871" s="826"/>
      <c r="AF871" s="802"/>
    </row>
    <row r="872" spans="1:32" ht="14.25">
      <c r="A872" s="990">
        <v>14041</v>
      </c>
      <c r="B872" s="991"/>
      <c r="C872" s="991" t="s">
        <v>1472</v>
      </c>
      <c r="D872" s="1040">
        <v>75</v>
      </c>
      <c r="E872" s="1028">
        <v>20500</v>
      </c>
      <c r="F872" s="1041">
        <v>380</v>
      </c>
      <c r="G872" s="1067">
        <v>510</v>
      </c>
      <c r="H872" s="620">
        <v>420</v>
      </c>
      <c r="I872" s="620">
        <v>660</v>
      </c>
      <c r="J872" s="1043">
        <v>5</v>
      </c>
      <c r="K872" s="1032" t="s">
        <v>347</v>
      </c>
      <c r="L872" s="1251">
        <v>10</v>
      </c>
      <c r="M872" s="1252">
        <v>200</v>
      </c>
      <c r="N872" s="1264">
        <v>0.25</v>
      </c>
      <c r="O872" s="815">
        <v>0.6</v>
      </c>
      <c r="P872" s="812">
        <v>12</v>
      </c>
      <c r="Q872" s="609">
        <v>0.1</v>
      </c>
      <c r="R872" s="610">
        <v>1168.8</v>
      </c>
      <c r="S872" s="610">
        <v>413</v>
      </c>
      <c r="T872" s="1278">
        <v>2009.25</v>
      </c>
      <c r="U872" s="632">
        <v>267.6333333333333</v>
      </c>
      <c r="V872" s="620">
        <v>61.5</v>
      </c>
      <c r="W872" s="613"/>
      <c r="X872" s="620">
        <v>2.8000000000000003</v>
      </c>
      <c r="Y872" s="846">
        <v>61.5</v>
      </c>
      <c r="Z872" s="828">
        <v>382.2637500000001</v>
      </c>
      <c r="AA872" s="838">
        <v>509.68500000000006</v>
      </c>
      <c r="AB872" s="830"/>
      <c r="AC872" s="940">
        <v>41</v>
      </c>
      <c r="AD872" s="830" t="s">
        <v>484</v>
      </c>
      <c r="AE872" s="830">
        <v>0</v>
      </c>
      <c r="AF872" s="803">
        <v>14041</v>
      </c>
    </row>
    <row r="873" spans="1:32" ht="14.25">
      <c r="A873" s="154">
        <v>14042</v>
      </c>
      <c r="B873" s="992"/>
      <c r="C873" s="992" t="s">
        <v>1258</v>
      </c>
      <c r="D873" s="510">
        <v>50</v>
      </c>
      <c r="E873" s="504">
        <v>12500</v>
      </c>
      <c r="F873" s="509">
        <v>80</v>
      </c>
      <c r="G873" s="1068">
        <v>160</v>
      </c>
      <c r="H873" s="511">
        <v>140</v>
      </c>
      <c r="I873" s="511">
        <v>200</v>
      </c>
      <c r="J873" s="766">
        <v>10</v>
      </c>
      <c r="K873" s="145" t="s">
        <v>347</v>
      </c>
      <c r="L873" s="492">
        <v>12</v>
      </c>
      <c r="M873" s="782">
        <v>300</v>
      </c>
      <c r="N873" s="500">
        <v>0.25</v>
      </c>
      <c r="O873" s="788">
        <v>0.95</v>
      </c>
      <c r="P873" s="492">
        <v>8</v>
      </c>
      <c r="Q873" s="507">
        <v>0.16667</v>
      </c>
      <c r="R873" s="201">
        <v>2435</v>
      </c>
      <c r="S873" s="201">
        <v>413</v>
      </c>
      <c r="T873" s="1277">
        <v>1073</v>
      </c>
      <c r="U873" s="518">
        <v>483</v>
      </c>
      <c r="V873" s="511">
        <v>39.58333333333333</v>
      </c>
      <c r="W873" s="506"/>
      <c r="X873" s="511">
        <v>4.66676</v>
      </c>
      <c r="Y873" s="848">
        <v>39.58333333333333</v>
      </c>
      <c r="Z873" s="831"/>
      <c r="AA873" s="861">
        <v>161.57166666666666</v>
      </c>
      <c r="AB873" s="826"/>
      <c r="AC873" s="939">
        <v>25</v>
      </c>
      <c r="AD873" s="826" t="s">
        <v>484</v>
      </c>
      <c r="AE873" s="826">
        <v>0</v>
      </c>
      <c r="AF873" s="804">
        <v>14042</v>
      </c>
    </row>
    <row r="874" spans="1:32" ht="14.25">
      <c r="A874" s="994">
        <v>14048</v>
      </c>
      <c r="B874" s="1000" t="s">
        <v>1501</v>
      </c>
      <c r="C874" s="1000" t="s">
        <v>1259</v>
      </c>
      <c r="D874" s="1069">
        <v>15</v>
      </c>
      <c r="E874" s="1070">
        <v>12000</v>
      </c>
      <c r="F874" s="1156">
        <v>35</v>
      </c>
      <c r="G874" s="1157">
        <v>230</v>
      </c>
      <c r="H874" s="1138">
        <v>190</v>
      </c>
      <c r="I874" s="1138">
        <v>290</v>
      </c>
      <c r="J874" s="1158">
        <v>6</v>
      </c>
      <c r="K874" s="1075" t="s">
        <v>347</v>
      </c>
      <c r="L874" s="1254">
        <v>12</v>
      </c>
      <c r="M874" s="1259">
        <v>200</v>
      </c>
      <c r="N874" s="1266">
        <v>0.25</v>
      </c>
      <c r="O874" s="815">
        <v>0.5</v>
      </c>
      <c r="P874" s="812">
        <v>11</v>
      </c>
      <c r="Q874" s="655">
        <v>0.001</v>
      </c>
      <c r="R874" s="610">
        <v>2435</v>
      </c>
      <c r="S874" s="610">
        <v>245</v>
      </c>
      <c r="T874" s="1281">
        <v>1050</v>
      </c>
      <c r="U874" s="620">
        <v>0.0273</v>
      </c>
      <c r="V874" s="1138">
        <v>30</v>
      </c>
      <c r="W874" s="1073"/>
      <c r="X874" s="647">
        <v>0.028</v>
      </c>
      <c r="Y874" s="846">
        <v>30</v>
      </c>
      <c r="Z874" s="828">
        <v>33.825</v>
      </c>
      <c r="AA874" s="838">
        <v>225.50000000000003</v>
      </c>
      <c r="AB874" s="830"/>
      <c r="AC874" s="940">
        <v>24</v>
      </c>
      <c r="AD874" s="830" t="s">
        <v>484</v>
      </c>
      <c r="AE874" s="830">
        <v>0</v>
      </c>
      <c r="AF874" s="803">
        <v>14048</v>
      </c>
    </row>
    <row r="875" spans="1:32" ht="14.25">
      <c r="A875" s="154">
        <v>14050</v>
      </c>
      <c r="B875" s="992"/>
      <c r="C875" s="992" t="s">
        <v>1260</v>
      </c>
      <c r="D875" s="510" t="s">
        <v>347</v>
      </c>
      <c r="E875" s="504">
        <v>2000</v>
      </c>
      <c r="F875" s="621">
        <v>2.8</v>
      </c>
      <c r="G875" s="1053"/>
      <c r="H875" s="506">
        <v>2.4</v>
      </c>
      <c r="I875" s="506">
        <v>3.5</v>
      </c>
      <c r="J875" s="764">
        <v>320</v>
      </c>
      <c r="K875" s="145" t="s">
        <v>347</v>
      </c>
      <c r="L875" s="492">
        <v>3</v>
      </c>
      <c r="M875" s="780">
        <v>1500</v>
      </c>
      <c r="N875" s="500">
        <v>0.1</v>
      </c>
      <c r="O875" s="788">
        <v>0.4</v>
      </c>
      <c r="P875" s="492">
        <v>1</v>
      </c>
      <c r="Q875" s="507"/>
      <c r="R875" s="201" t="s">
        <v>413</v>
      </c>
      <c r="S875" s="201"/>
      <c r="T875" s="1277">
        <v>642</v>
      </c>
      <c r="U875" s="506"/>
      <c r="V875" s="506">
        <v>0.5333333333333333</v>
      </c>
      <c r="W875" s="506"/>
      <c r="X875" s="506"/>
      <c r="Y875" s="823">
        <v>0.5333333333333333</v>
      </c>
      <c r="Z875" s="831">
        <v>2.793541666666667</v>
      </c>
      <c r="AA875" s="866"/>
      <c r="AB875" s="826"/>
      <c r="AC875" s="939">
        <v>4</v>
      </c>
      <c r="AD875" s="826" t="s">
        <v>483</v>
      </c>
      <c r="AE875" s="826">
        <v>0</v>
      </c>
      <c r="AF875" s="804">
        <v>14050</v>
      </c>
    </row>
    <row r="876" spans="1:32" ht="28.5">
      <c r="A876" s="990">
        <v>14051</v>
      </c>
      <c r="B876" s="991"/>
      <c r="C876" s="991" t="s">
        <v>1261</v>
      </c>
      <c r="D876" s="1040" t="s">
        <v>347</v>
      </c>
      <c r="E876" s="1028">
        <v>7400</v>
      </c>
      <c r="F876" s="1049">
        <v>6.2</v>
      </c>
      <c r="G876" s="1052"/>
      <c r="H876" s="613">
        <v>5.5</v>
      </c>
      <c r="I876" s="613">
        <v>7.5</v>
      </c>
      <c r="J876" s="1031">
        <v>250</v>
      </c>
      <c r="K876" s="1032" t="s">
        <v>347</v>
      </c>
      <c r="L876" s="1251">
        <v>10</v>
      </c>
      <c r="M876" s="1232">
        <v>4000</v>
      </c>
      <c r="N876" s="1264">
        <v>0.1</v>
      </c>
      <c r="O876" s="815">
        <v>1.25</v>
      </c>
      <c r="P876" s="812">
        <v>7</v>
      </c>
      <c r="Q876" s="626"/>
      <c r="R876" s="627" t="s">
        <v>413</v>
      </c>
      <c r="S876" s="627"/>
      <c r="T876" s="1278">
        <v>841.1999999999999</v>
      </c>
      <c r="U876" s="637"/>
      <c r="V876" s="613">
        <v>2.3125</v>
      </c>
      <c r="W876" s="613"/>
      <c r="X876" s="625"/>
      <c r="Y876" s="827">
        <v>2.3125</v>
      </c>
      <c r="Z876" s="828">
        <v>6.24503</v>
      </c>
      <c r="AA876" s="869"/>
      <c r="AB876" s="830"/>
      <c r="AC876" s="940">
        <v>14.8</v>
      </c>
      <c r="AD876" s="830" t="s">
        <v>483</v>
      </c>
      <c r="AE876" s="830">
        <v>0</v>
      </c>
      <c r="AF876" s="803">
        <v>14051</v>
      </c>
    </row>
    <row r="877" spans="1:32" ht="28.5">
      <c r="A877" s="154">
        <v>14052</v>
      </c>
      <c r="B877" s="992"/>
      <c r="C877" s="992" t="s">
        <v>1122</v>
      </c>
      <c r="D877" s="503">
        <v>2</v>
      </c>
      <c r="E877" s="504">
        <v>6600</v>
      </c>
      <c r="F877" s="621">
        <v>7.7</v>
      </c>
      <c r="G877" s="1037"/>
      <c r="H877" s="506">
        <v>7</v>
      </c>
      <c r="I877" s="506">
        <v>8.9</v>
      </c>
      <c r="J877" s="764">
        <v>250</v>
      </c>
      <c r="K877" s="145">
        <v>70</v>
      </c>
      <c r="L877" s="492">
        <v>10</v>
      </c>
      <c r="M877" s="780">
        <v>4000</v>
      </c>
      <c r="N877" s="500">
        <v>0.1</v>
      </c>
      <c r="O877" s="788">
        <v>1.7</v>
      </c>
      <c r="P877" s="492">
        <v>7</v>
      </c>
      <c r="Q877" s="507"/>
      <c r="R877" s="201" t="s">
        <v>413</v>
      </c>
      <c r="S877" s="201"/>
      <c r="T877" s="1277">
        <v>803.8000000000001</v>
      </c>
      <c r="U877" s="511"/>
      <c r="V877" s="506">
        <v>2.8049999999999997</v>
      </c>
      <c r="W877" s="506">
        <v>1.0150000000000001</v>
      </c>
      <c r="X877" s="506"/>
      <c r="Y877" s="823">
        <v>3.82</v>
      </c>
      <c r="Z877" s="831">
        <v>7.738720000000001</v>
      </c>
      <c r="AA877" s="836"/>
      <c r="AB877" s="826"/>
      <c r="AC877" s="939">
        <v>13.200000000000001</v>
      </c>
      <c r="AD877" s="826" t="s">
        <v>483</v>
      </c>
      <c r="AE877" s="826">
        <v>2</v>
      </c>
      <c r="AF877" s="804">
        <v>14052</v>
      </c>
    </row>
    <row r="878" spans="1:32" ht="14.25">
      <c r="A878" s="994">
        <v>14054</v>
      </c>
      <c r="B878" s="1000"/>
      <c r="C878" s="1000" t="s">
        <v>1368</v>
      </c>
      <c r="D878" s="1069" t="s">
        <v>347</v>
      </c>
      <c r="E878" s="1070">
        <v>1500</v>
      </c>
      <c r="F878" s="1136">
        <v>3.4</v>
      </c>
      <c r="G878" s="1214"/>
      <c r="H878" s="1073">
        <v>3</v>
      </c>
      <c r="I878" s="1073">
        <v>4</v>
      </c>
      <c r="J878" s="1074">
        <v>100</v>
      </c>
      <c r="K878" s="1075" t="s">
        <v>347</v>
      </c>
      <c r="L878" s="1254">
        <v>10</v>
      </c>
      <c r="M878" s="1255">
        <v>1500</v>
      </c>
      <c r="N878" s="1266">
        <v>0.1</v>
      </c>
      <c r="O878" s="815">
        <v>1.4</v>
      </c>
      <c r="P878" s="812">
        <v>1</v>
      </c>
      <c r="Q878" s="603"/>
      <c r="R878" s="605" t="s">
        <v>413</v>
      </c>
      <c r="S878" s="606"/>
      <c r="T878" s="1281">
        <v>168</v>
      </c>
      <c r="U878" s="604"/>
      <c r="V878" s="1073">
        <v>1.4</v>
      </c>
      <c r="W878" s="1073"/>
      <c r="X878" s="604"/>
      <c r="Y878" s="827">
        <v>1.4</v>
      </c>
      <c r="Z878" s="828">
        <v>3.3880000000000003</v>
      </c>
      <c r="AA878" s="869"/>
      <c r="AB878" s="830"/>
      <c r="AC878" s="940">
        <v>3</v>
      </c>
      <c r="AD878" s="830" t="s">
        <v>483</v>
      </c>
      <c r="AE878" s="830">
        <v>0</v>
      </c>
      <c r="AF878" s="803">
        <v>14054</v>
      </c>
    </row>
    <row r="879" spans="1:32" ht="14.25">
      <c r="A879" s="154">
        <v>14053</v>
      </c>
      <c r="B879" s="992" t="s">
        <v>1501</v>
      </c>
      <c r="C879" s="992" t="s">
        <v>20</v>
      </c>
      <c r="D879" s="510">
        <v>25</v>
      </c>
      <c r="E879" s="504">
        <v>19500</v>
      </c>
      <c r="F879" s="509">
        <v>78</v>
      </c>
      <c r="G879" s="1068">
        <v>310</v>
      </c>
      <c r="H879" s="511">
        <v>270</v>
      </c>
      <c r="I879" s="511">
        <v>370</v>
      </c>
      <c r="J879" s="766">
        <v>10</v>
      </c>
      <c r="K879" s="145" t="s">
        <v>347</v>
      </c>
      <c r="L879" s="492">
        <v>12</v>
      </c>
      <c r="M879" s="766">
        <v>300</v>
      </c>
      <c r="N879" s="500">
        <v>0.25</v>
      </c>
      <c r="O879" s="788">
        <v>0.45</v>
      </c>
      <c r="P879" s="492">
        <v>12</v>
      </c>
      <c r="Q879" s="507"/>
      <c r="R879" s="201" t="s">
        <v>413</v>
      </c>
      <c r="S879" s="201"/>
      <c r="T879" s="1277">
        <v>1671</v>
      </c>
      <c r="U879" s="506"/>
      <c r="V879" s="511">
        <v>29.25</v>
      </c>
      <c r="W879" s="511">
        <v>83.52000000000001</v>
      </c>
      <c r="X879" s="506"/>
      <c r="Y879" s="823">
        <v>112.77000000000001</v>
      </c>
      <c r="Z879" s="831">
        <v>76.96425</v>
      </c>
      <c r="AA879" s="861">
        <v>307.857</v>
      </c>
      <c r="AB879" s="826"/>
      <c r="AC879" s="939">
        <v>39</v>
      </c>
      <c r="AD879" s="826" t="s">
        <v>484</v>
      </c>
      <c r="AE879" s="826">
        <v>0</v>
      </c>
      <c r="AF879" s="804">
        <v>14053</v>
      </c>
    </row>
    <row r="880" spans="1:32" ht="14.25">
      <c r="A880" s="496"/>
      <c r="B880" s="761"/>
      <c r="C880" s="496"/>
      <c r="D880" s="496"/>
      <c r="E880" s="496"/>
      <c r="F880" s="496"/>
      <c r="G880" s="496"/>
      <c r="H880" s="496"/>
      <c r="I880" s="496"/>
      <c r="J880" s="499"/>
      <c r="K880" s="495"/>
      <c r="L880" s="496"/>
      <c r="M880" s="496"/>
      <c r="N880" s="496"/>
      <c r="O880" s="802"/>
      <c r="P880" s="810"/>
      <c r="Q880" s="609">
        <v>0.05</v>
      </c>
      <c r="R880" s="610">
        <v>379.04</v>
      </c>
      <c r="S880" s="610">
        <v>77</v>
      </c>
      <c r="T880" s="496"/>
      <c r="U880" s="620">
        <v>23.262</v>
      </c>
      <c r="V880" s="496"/>
      <c r="W880" s="496"/>
      <c r="X880" s="620">
        <v>1.4000000000000001</v>
      </c>
      <c r="Y880" s="802"/>
      <c r="Z880" s="802"/>
      <c r="AA880" s="802"/>
      <c r="AB880" s="802"/>
      <c r="AC880" s="971"/>
      <c r="AD880" s="802"/>
      <c r="AE880" s="802"/>
      <c r="AF880" s="802"/>
    </row>
    <row r="881" spans="1:32" ht="14.25">
      <c r="A881" s="987">
        <v>14060</v>
      </c>
      <c r="B881" s="988"/>
      <c r="C881" s="989" t="s">
        <v>859</v>
      </c>
      <c r="D881" s="1021"/>
      <c r="E881" s="1022"/>
      <c r="F881" s="1023"/>
      <c r="G881" s="1024"/>
      <c r="H881" s="1025"/>
      <c r="I881" s="1025"/>
      <c r="J881" s="1026"/>
      <c r="K881" s="1026"/>
      <c r="L881" s="1021"/>
      <c r="M881" s="1026"/>
      <c r="N881" s="1263" t="s">
        <v>413</v>
      </c>
      <c r="O881" s="816" t="s">
        <v>413</v>
      </c>
      <c r="P881" s="809"/>
      <c r="Q881" s="507">
        <v>0.1</v>
      </c>
      <c r="R881" s="201">
        <v>545.44</v>
      </c>
      <c r="S881" s="201">
        <v>70</v>
      </c>
      <c r="T881" s="1276" t="s">
        <v>413</v>
      </c>
      <c r="U881" s="511">
        <v>41.776</v>
      </c>
      <c r="V881" s="1025"/>
      <c r="W881" s="1025"/>
      <c r="X881" s="511">
        <v>2.8000000000000003</v>
      </c>
      <c r="Y881" s="833" t="s">
        <v>413</v>
      </c>
      <c r="Z881" s="820"/>
      <c r="AA881" s="821"/>
      <c r="AB881" s="822"/>
      <c r="AC881" s="938" t="s">
        <v>413</v>
      </c>
      <c r="AD881" s="822" t="s">
        <v>413</v>
      </c>
      <c r="AE881" s="822"/>
      <c r="AF881" s="801">
        <v>14060</v>
      </c>
    </row>
    <row r="882" spans="1:32" ht="14.25">
      <c r="A882" s="496"/>
      <c r="B882" s="761"/>
      <c r="C882" s="496"/>
      <c r="D882" s="510"/>
      <c r="E882" s="504"/>
      <c r="F882" s="509"/>
      <c r="G882" s="1233"/>
      <c r="H882" s="511"/>
      <c r="I882" s="511"/>
      <c r="J882" s="766"/>
      <c r="K882" s="495"/>
      <c r="L882" s="496"/>
      <c r="M882" s="766"/>
      <c r="N882" s="500" t="s">
        <v>413</v>
      </c>
      <c r="O882" s="788" t="s">
        <v>413</v>
      </c>
      <c r="P882" s="810"/>
      <c r="Q882" s="609">
        <v>0.1</v>
      </c>
      <c r="R882" s="610">
        <v>720.76</v>
      </c>
      <c r="S882" s="610">
        <v>84</v>
      </c>
      <c r="T882" s="1277" t="s">
        <v>413</v>
      </c>
      <c r="U882" s="620">
        <v>54.63733333333333</v>
      </c>
      <c r="V882" s="511"/>
      <c r="W882" s="506"/>
      <c r="X882" s="620">
        <v>2.8000000000000003</v>
      </c>
      <c r="Y882" s="823" t="s">
        <v>413</v>
      </c>
      <c r="Z882" s="831"/>
      <c r="AA882" s="861"/>
      <c r="AB882" s="802"/>
      <c r="AC882" s="939" t="s">
        <v>413</v>
      </c>
      <c r="AD882" s="826" t="s">
        <v>413</v>
      </c>
      <c r="AE882" s="826"/>
      <c r="AF882" s="802"/>
    </row>
    <row r="883" spans="1:32" ht="14.25">
      <c r="A883" s="990">
        <v>14061</v>
      </c>
      <c r="B883" s="991"/>
      <c r="C883" s="991" t="s">
        <v>878</v>
      </c>
      <c r="D883" s="1040">
        <v>66</v>
      </c>
      <c r="E883" s="1028">
        <v>10400</v>
      </c>
      <c r="F883" s="1041">
        <v>22</v>
      </c>
      <c r="G883" s="1067">
        <v>33</v>
      </c>
      <c r="H883" s="620">
        <v>28</v>
      </c>
      <c r="I883" s="620">
        <v>40</v>
      </c>
      <c r="J883" s="1043">
        <v>50</v>
      </c>
      <c r="K883" s="1032" t="s">
        <v>347</v>
      </c>
      <c r="L883" s="1251">
        <v>12</v>
      </c>
      <c r="M883" s="1043">
        <v>1000</v>
      </c>
      <c r="N883" s="1264">
        <v>0.1</v>
      </c>
      <c r="O883" s="815">
        <v>0.9</v>
      </c>
      <c r="P883" s="812">
        <v>8</v>
      </c>
      <c r="Q883" s="507">
        <v>0.333</v>
      </c>
      <c r="R883" s="201">
        <v>857.1199999999999</v>
      </c>
      <c r="S883" s="201">
        <v>63</v>
      </c>
      <c r="T883" s="1278">
        <v>1015.1999999999999</v>
      </c>
      <c r="U883" s="511">
        <v>78.14333333333333</v>
      </c>
      <c r="V883" s="1138">
        <v>9.360000000000001</v>
      </c>
      <c r="W883" s="1073"/>
      <c r="X883" s="511">
        <v>9.324</v>
      </c>
      <c r="Y883" s="846">
        <v>9.360000000000001</v>
      </c>
      <c r="Z883" s="828"/>
      <c r="AA883" s="929">
        <v>32.6304</v>
      </c>
      <c r="AB883" s="830"/>
      <c r="AC883" s="940">
        <v>20.8</v>
      </c>
      <c r="AD883" s="830" t="s">
        <v>484</v>
      </c>
      <c r="AE883" s="830">
        <v>0</v>
      </c>
      <c r="AF883" s="803">
        <v>14061</v>
      </c>
    </row>
    <row r="884" spans="1:32" ht="28.5">
      <c r="A884" s="154">
        <v>14063</v>
      </c>
      <c r="B884" s="992"/>
      <c r="C884" s="992" t="s">
        <v>1262</v>
      </c>
      <c r="D884" s="510">
        <v>66</v>
      </c>
      <c r="E884" s="504">
        <v>9300</v>
      </c>
      <c r="F884" s="509">
        <v>50</v>
      </c>
      <c r="G884" s="1068">
        <v>75</v>
      </c>
      <c r="H884" s="511">
        <v>65</v>
      </c>
      <c r="I884" s="511">
        <v>91</v>
      </c>
      <c r="J884" s="766">
        <v>20</v>
      </c>
      <c r="K884" s="145">
        <v>70</v>
      </c>
      <c r="L884" s="492">
        <v>12</v>
      </c>
      <c r="M884" s="766">
        <v>500</v>
      </c>
      <c r="N884" s="500">
        <v>0.25</v>
      </c>
      <c r="O884" s="788">
        <v>1.05</v>
      </c>
      <c r="P884" s="492">
        <v>8</v>
      </c>
      <c r="Q884" s="609">
        <v>0.05</v>
      </c>
      <c r="R884" s="610">
        <v>1022.7</v>
      </c>
      <c r="S884" s="610">
        <v>180</v>
      </c>
      <c r="T884" s="1277">
        <v>866.6</v>
      </c>
      <c r="U884" s="608">
        <v>12.237</v>
      </c>
      <c r="V884" s="511">
        <v>19.53</v>
      </c>
      <c r="W884" s="511">
        <v>4.99810606060606</v>
      </c>
      <c r="X884" s="608">
        <v>1.4000000000000001</v>
      </c>
      <c r="Y884" s="848">
        <v>24.52810606060606</v>
      </c>
      <c r="Z884" s="831"/>
      <c r="AA884" s="861">
        <v>74.64391666666667</v>
      </c>
      <c r="AB884" s="826">
        <v>6.5</v>
      </c>
      <c r="AC884" s="939">
        <v>18.6</v>
      </c>
      <c r="AD884" s="826" t="s">
        <v>484</v>
      </c>
      <c r="AE884" s="826">
        <v>2</v>
      </c>
      <c r="AF884" s="804">
        <v>14063</v>
      </c>
    </row>
    <row r="885" spans="1:32" ht="14.25">
      <c r="A885" s="994">
        <v>14064</v>
      </c>
      <c r="B885" s="1000"/>
      <c r="C885" s="1000" t="s">
        <v>1263</v>
      </c>
      <c r="D885" s="1069">
        <v>66</v>
      </c>
      <c r="E885" s="1070">
        <v>18500</v>
      </c>
      <c r="F885" s="1156">
        <v>36</v>
      </c>
      <c r="G885" s="1157">
        <v>55</v>
      </c>
      <c r="H885" s="1138">
        <v>47</v>
      </c>
      <c r="I885" s="1138">
        <v>69</v>
      </c>
      <c r="J885" s="1158">
        <v>50</v>
      </c>
      <c r="K885" s="1075" t="s">
        <v>347</v>
      </c>
      <c r="L885" s="1254">
        <v>12</v>
      </c>
      <c r="M885" s="1158">
        <v>1000</v>
      </c>
      <c r="N885" s="1266">
        <v>0.1</v>
      </c>
      <c r="O885" s="815">
        <v>0.75</v>
      </c>
      <c r="P885" s="812">
        <v>18</v>
      </c>
      <c r="Q885" s="507">
        <v>0.1</v>
      </c>
      <c r="R885" s="201">
        <v>674.4</v>
      </c>
      <c r="S885" s="201">
        <v>135</v>
      </c>
      <c r="T885" s="1281">
        <v>1828.5</v>
      </c>
      <c r="U885" s="506">
        <v>11.734285714285713</v>
      </c>
      <c r="V885" s="1138">
        <v>13.875</v>
      </c>
      <c r="W885" s="1073"/>
      <c r="X885" s="506">
        <v>2.8000000000000003</v>
      </c>
      <c r="Y885" s="846">
        <v>13.875</v>
      </c>
      <c r="Z885" s="828"/>
      <c r="AA885" s="838">
        <v>55.48950000000001</v>
      </c>
      <c r="AB885" s="830"/>
      <c r="AC885" s="940">
        <v>37</v>
      </c>
      <c r="AD885" s="830" t="s">
        <v>484</v>
      </c>
      <c r="AE885" s="830">
        <v>0</v>
      </c>
      <c r="AF885" s="803">
        <v>14064</v>
      </c>
    </row>
    <row r="886" spans="1:32" ht="28.5">
      <c r="A886" s="154">
        <v>14067</v>
      </c>
      <c r="B886" s="992"/>
      <c r="C886" s="992" t="s">
        <v>1542</v>
      </c>
      <c r="D886" s="510">
        <v>66</v>
      </c>
      <c r="E886" s="504">
        <v>49000</v>
      </c>
      <c r="F886" s="509">
        <v>46</v>
      </c>
      <c r="G886" s="1068">
        <v>70</v>
      </c>
      <c r="H886" s="511">
        <v>62</v>
      </c>
      <c r="I886" s="511">
        <v>83</v>
      </c>
      <c r="J886" s="766">
        <v>150</v>
      </c>
      <c r="K886" s="145">
        <v>70</v>
      </c>
      <c r="L886" s="492">
        <v>12</v>
      </c>
      <c r="M886" s="766">
        <v>2000</v>
      </c>
      <c r="N886" s="500">
        <v>0</v>
      </c>
      <c r="O886" s="788">
        <v>0.5</v>
      </c>
      <c r="P886" s="492">
        <v>15</v>
      </c>
      <c r="Q886" s="609">
        <v>0.05</v>
      </c>
      <c r="R886" s="610">
        <v>200.1</v>
      </c>
      <c r="S886" s="610">
        <v>70</v>
      </c>
      <c r="T886" s="1277">
        <v>5451.333333333334</v>
      </c>
      <c r="U886" s="620">
        <v>27.470000000000006</v>
      </c>
      <c r="V886" s="511">
        <v>12.25</v>
      </c>
      <c r="W886" s="511">
        <v>14.609848484848484</v>
      </c>
      <c r="X886" s="620">
        <v>1.4000000000000001</v>
      </c>
      <c r="Y886" s="848">
        <v>26.859848484848484</v>
      </c>
      <c r="Z886" s="831"/>
      <c r="AA886" s="861">
        <v>69.52227777777779</v>
      </c>
      <c r="AB886" s="826">
        <v>19</v>
      </c>
      <c r="AC886" s="939">
        <v>438</v>
      </c>
      <c r="AD886" s="826" t="s">
        <v>484</v>
      </c>
      <c r="AE886" s="826">
        <v>2</v>
      </c>
      <c r="AF886" s="804">
        <v>14067</v>
      </c>
    </row>
    <row r="887" spans="1:32" ht="14.25">
      <c r="A887" s="154"/>
      <c r="B887" s="992"/>
      <c r="C887" s="992"/>
      <c r="D887" s="503"/>
      <c r="E887" s="504"/>
      <c r="F887" s="509"/>
      <c r="G887" s="1037"/>
      <c r="H887" s="506"/>
      <c r="I887" s="506"/>
      <c r="J887" s="764"/>
      <c r="L887" s="492"/>
      <c r="M887" s="780"/>
      <c r="N887" s="500" t="s">
        <v>413</v>
      </c>
      <c r="O887" s="788" t="s">
        <v>413</v>
      </c>
      <c r="P887" s="492"/>
      <c r="Q887" s="507">
        <v>0.1</v>
      </c>
      <c r="R887" s="201">
        <v>1236.4</v>
      </c>
      <c r="S887" s="201">
        <v>126</v>
      </c>
      <c r="T887" s="1277" t="s">
        <v>413</v>
      </c>
      <c r="U887" s="520">
        <v>5.5376</v>
      </c>
      <c r="V887" s="506"/>
      <c r="W887" s="506"/>
      <c r="X887" s="520">
        <v>2.8000000000000003</v>
      </c>
      <c r="Y887" s="823" t="s">
        <v>413</v>
      </c>
      <c r="Z887" s="834"/>
      <c r="AA887" s="836"/>
      <c r="AB887" s="865"/>
      <c r="AC887" s="939" t="s">
        <v>413</v>
      </c>
      <c r="AD887" s="826" t="s">
        <v>413</v>
      </c>
      <c r="AE887" s="826"/>
      <c r="AF887" s="804"/>
    </row>
    <row r="888" spans="1:32" ht="14.25">
      <c r="A888" s="987">
        <v>14070</v>
      </c>
      <c r="B888" s="988"/>
      <c r="C888" s="989" t="s">
        <v>1473</v>
      </c>
      <c r="D888" s="1021"/>
      <c r="E888" s="1022"/>
      <c r="F888" s="1023"/>
      <c r="G888" s="1024"/>
      <c r="H888" s="1025"/>
      <c r="I888" s="1025"/>
      <c r="J888" s="1026"/>
      <c r="K888" s="1026"/>
      <c r="L888" s="1021"/>
      <c r="M888" s="1026"/>
      <c r="N888" s="1263" t="s">
        <v>413</v>
      </c>
      <c r="O888" s="816" t="s">
        <v>413</v>
      </c>
      <c r="P888" s="809"/>
      <c r="Q888" s="492"/>
      <c r="R888" s="201" t="s">
        <v>413</v>
      </c>
      <c r="T888" s="1276" t="s">
        <v>413</v>
      </c>
      <c r="U888" s="494"/>
      <c r="V888" s="1025"/>
      <c r="W888" s="1025"/>
      <c r="X888" s="494"/>
      <c r="Y888" s="833" t="s">
        <v>413</v>
      </c>
      <c r="Z888" s="820"/>
      <c r="AA888" s="821"/>
      <c r="AB888" s="822"/>
      <c r="AC888" s="938" t="s">
        <v>413</v>
      </c>
      <c r="AD888" s="822" t="s">
        <v>413</v>
      </c>
      <c r="AE888" s="822"/>
      <c r="AF888" s="801">
        <v>14070</v>
      </c>
    </row>
    <row r="889" spans="1:32" ht="14.25">
      <c r="A889" s="154"/>
      <c r="B889" s="992"/>
      <c r="C889" s="992"/>
      <c r="D889" s="510"/>
      <c r="E889" s="504"/>
      <c r="F889" s="509"/>
      <c r="G889" s="1143"/>
      <c r="H889" s="506"/>
      <c r="I889" s="506"/>
      <c r="J889" s="764"/>
      <c r="L889" s="492"/>
      <c r="M889" s="780"/>
      <c r="N889" s="500"/>
      <c r="O889" s="788"/>
      <c r="P889" s="492"/>
      <c r="Q889" s="603"/>
      <c r="R889" s="605" t="s">
        <v>413</v>
      </c>
      <c r="S889" s="606"/>
      <c r="T889" s="1277"/>
      <c r="U889" s="604"/>
      <c r="V889" s="506"/>
      <c r="W889" s="506"/>
      <c r="X889" s="604"/>
      <c r="Y889" s="823"/>
      <c r="Z889" s="831"/>
      <c r="AA889" s="928"/>
      <c r="AB889" s="826"/>
      <c r="AC889" s="939"/>
      <c r="AD889" s="826"/>
      <c r="AE889" s="826"/>
      <c r="AF889" s="804"/>
    </row>
    <row r="890" spans="1:32" ht="14.25">
      <c r="A890" s="154">
        <v>14071</v>
      </c>
      <c r="B890" s="992"/>
      <c r="C890" s="992" t="s">
        <v>1474</v>
      </c>
      <c r="D890" s="510">
        <v>85</v>
      </c>
      <c r="E890" s="504">
        <v>113000</v>
      </c>
      <c r="F890" s="509">
        <v>510</v>
      </c>
      <c r="G890" s="1068">
        <v>600</v>
      </c>
      <c r="H890" s="511">
        <v>500</v>
      </c>
      <c r="I890" s="511">
        <v>770</v>
      </c>
      <c r="J890" s="766">
        <v>25</v>
      </c>
      <c r="L890" s="492">
        <v>10</v>
      </c>
      <c r="M890" s="766">
        <v>1300</v>
      </c>
      <c r="N890" s="500">
        <v>0.25</v>
      </c>
      <c r="O890" s="788">
        <v>1</v>
      </c>
      <c r="P890" s="492">
        <v>58</v>
      </c>
      <c r="Q890" s="507"/>
      <c r="R890" s="201" t="s">
        <v>413</v>
      </c>
      <c r="S890" s="201"/>
      <c r="T890" s="1277">
        <v>11432.5</v>
      </c>
      <c r="U890" s="511"/>
      <c r="V890" s="511">
        <v>86.92307692307692</v>
      </c>
      <c r="W890" s="506">
        <v>0</v>
      </c>
      <c r="X890" s="511"/>
      <c r="Y890" s="848">
        <v>86.92307692307692</v>
      </c>
      <c r="Z890" s="831"/>
      <c r="AA890" s="861">
        <v>598.6453846153847</v>
      </c>
      <c r="AB890" s="826"/>
      <c r="AC890" s="939">
        <v>226</v>
      </c>
      <c r="AD890" s="826" t="s">
        <v>484</v>
      </c>
      <c r="AE890" s="826">
        <v>0</v>
      </c>
      <c r="AF890" s="804">
        <v>14071</v>
      </c>
    </row>
    <row r="891" spans="1:32" ht="14.25">
      <c r="A891" s="154"/>
      <c r="B891" s="992"/>
      <c r="C891" s="992"/>
      <c r="D891" s="503"/>
      <c r="E891" s="504"/>
      <c r="F891" s="509"/>
      <c r="G891" s="1037"/>
      <c r="H891" s="506"/>
      <c r="I891" s="506"/>
      <c r="J891" s="764"/>
      <c r="L891" s="492"/>
      <c r="M891" s="780"/>
      <c r="N891" s="500"/>
      <c r="O891" s="788"/>
      <c r="P891" s="492"/>
      <c r="Q891" s="609">
        <v>0.05</v>
      </c>
      <c r="R891" s="610">
        <v>609</v>
      </c>
      <c r="S891" s="610">
        <v>70</v>
      </c>
      <c r="T891" s="1277"/>
      <c r="U891" s="608">
        <v>11.55</v>
      </c>
      <c r="V891" s="506"/>
      <c r="W891" s="506"/>
      <c r="X891" s="608">
        <v>1.4000000000000001</v>
      </c>
      <c r="Y891" s="823"/>
      <c r="Z891" s="831"/>
      <c r="AA891" s="836"/>
      <c r="AB891" s="826"/>
      <c r="AC891" s="939"/>
      <c r="AD891" s="826"/>
      <c r="AE891" s="826"/>
      <c r="AF891" s="804"/>
    </row>
    <row r="892" spans="1:32" ht="14.25">
      <c r="A892" s="987">
        <v>14100</v>
      </c>
      <c r="B892" s="988"/>
      <c r="C892" s="989" t="s">
        <v>879</v>
      </c>
      <c r="D892" s="1021"/>
      <c r="E892" s="1022"/>
      <c r="F892" s="1023"/>
      <c r="G892" s="1024"/>
      <c r="H892" s="1025"/>
      <c r="I892" s="1025"/>
      <c r="J892" s="1026"/>
      <c r="K892" s="1026"/>
      <c r="L892" s="1021"/>
      <c r="M892" s="1026"/>
      <c r="N892" s="1263" t="s">
        <v>413</v>
      </c>
      <c r="O892" s="816" t="s">
        <v>413</v>
      </c>
      <c r="P892" s="809"/>
      <c r="Q892" s="507">
        <v>0.05</v>
      </c>
      <c r="R892" s="201">
        <v>661.2</v>
      </c>
      <c r="S892" s="201">
        <v>120</v>
      </c>
      <c r="T892" s="1276" t="s">
        <v>413</v>
      </c>
      <c r="U892" s="506">
        <v>13.273333333333335</v>
      </c>
      <c r="V892" s="1025"/>
      <c r="W892" s="1025"/>
      <c r="X892" s="506">
        <v>1.4000000000000001</v>
      </c>
      <c r="Y892" s="833" t="s">
        <v>413</v>
      </c>
      <c r="Z892" s="820"/>
      <c r="AA892" s="821"/>
      <c r="AB892" s="822"/>
      <c r="AC892" s="938" t="s">
        <v>413</v>
      </c>
      <c r="AD892" s="822" t="s">
        <v>413</v>
      </c>
      <c r="AE892" s="822"/>
      <c r="AF892" s="801">
        <v>14100</v>
      </c>
    </row>
    <row r="893" spans="1:32" ht="14.25">
      <c r="A893" s="496"/>
      <c r="B893" s="761"/>
      <c r="C893" s="496"/>
      <c r="D893" s="510"/>
      <c r="E893" s="504"/>
      <c r="F893" s="509"/>
      <c r="G893" s="1143"/>
      <c r="H893" s="506"/>
      <c r="I893" s="506"/>
      <c r="J893" s="764"/>
      <c r="K893" s="495"/>
      <c r="L893" s="496"/>
      <c r="M893" s="780"/>
      <c r="N893" s="500" t="s">
        <v>413</v>
      </c>
      <c r="O893" s="788" t="s">
        <v>413</v>
      </c>
      <c r="P893" s="810"/>
      <c r="Q893" s="609">
        <v>0.05</v>
      </c>
      <c r="R893" s="610">
        <v>582.9</v>
      </c>
      <c r="S893" s="610">
        <v>91</v>
      </c>
      <c r="T893" s="1277" t="s">
        <v>413</v>
      </c>
      <c r="U893" s="608">
        <v>11.455</v>
      </c>
      <c r="V893" s="506"/>
      <c r="W893" s="506"/>
      <c r="X893" s="608">
        <v>1.4000000000000001</v>
      </c>
      <c r="Y893" s="823" t="s">
        <v>413</v>
      </c>
      <c r="Z893" s="831"/>
      <c r="AA893" s="930"/>
      <c r="AB893" s="802"/>
      <c r="AC893" s="939" t="s">
        <v>413</v>
      </c>
      <c r="AD893" s="826" t="s">
        <v>413</v>
      </c>
      <c r="AE893" s="826"/>
      <c r="AF893" s="802"/>
    </row>
    <row r="894" spans="1:32" ht="14.25">
      <c r="A894" s="990">
        <v>14101</v>
      </c>
      <c r="B894" s="991"/>
      <c r="C894" s="991" t="s">
        <v>880</v>
      </c>
      <c r="D894" s="1234"/>
      <c r="E894" s="1028">
        <v>7100</v>
      </c>
      <c r="F894" s="1049">
        <v>21</v>
      </c>
      <c r="G894" s="1224"/>
      <c r="H894" s="613"/>
      <c r="I894" s="613"/>
      <c r="J894" s="1031">
        <v>50</v>
      </c>
      <c r="K894" s="1032" t="s">
        <v>347</v>
      </c>
      <c r="L894" s="1251">
        <v>12</v>
      </c>
      <c r="M894" s="1232">
        <v>2000</v>
      </c>
      <c r="N894" s="1264">
        <v>0.25</v>
      </c>
      <c r="O894" s="815">
        <v>1.75</v>
      </c>
      <c r="P894" s="812">
        <v>5</v>
      </c>
      <c r="Q894" s="507">
        <v>0.05</v>
      </c>
      <c r="R894" s="201">
        <v>1261.5</v>
      </c>
      <c r="S894" s="201">
        <v>70</v>
      </c>
      <c r="T894" s="1278">
        <v>647.2</v>
      </c>
      <c r="U894" s="506">
        <v>15.116666666666667</v>
      </c>
      <c r="V894" s="613">
        <v>6.2124999999999995</v>
      </c>
      <c r="W894" s="613"/>
      <c r="X894" s="506">
        <v>1.4000000000000001</v>
      </c>
      <c r="Y894" s="827">
        <v>6.2124999999999995</v>
      </c>
      <c r="Z894" s="828">
        <v>21.072150000000004</v>
      </c>
      <c r="AA894" s="867"/>
      <c r="AB894" s="830"/>
      <c r="AC894" s="940">
        <v>14.200000000000001</v>
      </c>
      <c r="AD894" s="830" t="s">
        <v>483</v>
      </c>
      <c r="AE894" s="830">
        <v>0</v>
      </c>
      <c r="AF894" s="803">
        <v>14101</v>
      </c>
    </row>
    <row r="895" spans="1:32" ht="14.25">
      <c r="A895" s="154">
        <v>14102</v>
      </c>
      <c r="B895" s="992"/>
      <c r="C895" s="992" t="s">
        <v>881</v>
      </c>
      <c r="D895" s="546">
        <v>15</v>
      </c>
      <c r="E895" s="504">
        <v>20000</v>
      </c>
      <c r="F895" s="621">
        <v>39</v>
      </c>
      <c r="G895" s="1148"/>
      <c r="H895" s="506"/>
      <c r="I895" s="506"/>
      <c r="J895" s="764">
        <v>75</v>
      </c>
      <c r="K895" s="145" t="s">
        <v>347</v>
      </c>
      <c r="L895" s="492">
        <v>12</v>
      </c>
      <c r="M895" s="780">
        <v>2000</v>
      </c>
      <c r="N895" s="500">
        <v>0.25</v>
      </c>
      <c r="O895" s="788">
        <v>1.25</v>
      </c>
      <c r="P895" s="492">
        <v>5</v>
      </c>
      <c r="Q895" s="609">
        <v>0.02</v>
      </c>
      <c r="R895" s="610">
        <v>435</v>
      </c>
      <c r="S895" s="610">
        <v>105</v>
      </c>
      <c r="T895" s="1277">
        <v>1705</v>
      </c>
      <c r="U895" s="608">
        <v>9.166666666666666</v>
      </c>
      <c r="V895" s="506">
        <v>12.5</v>
      </c>
      <c r="W895" s="506"/>
      <c r="X895" s="608">
        <v>0.56</v>
      </c>
      <c r="Y895" s="823">
        <v>12.5</v>
      </c>
      <c r="Z895" s="831">
        <v>38.75666666666667</v>
      </c>
      <c r="AA895" s="868"/>
      <c r="AB895" s="826"/>
      <c r="AC895" s="939">
        <v>40</v>
      </c>
      <c r="AD895" s="826" t="s">
        <v>483</v>
      </c>
      <c r="AE895" s="826">
        <v>0</v>
      </c>
      <c r="AF895" s="804">
        <v>14102</v>
      </c>
    </row>
    <row r="896" spans="1:32" ht="14.25">
      <c r="A896" s="990">
        <v>14103</v>
      </c>
      <c r="B896" s="991"/>
      <c r="C896" s="991" t="s">
        <v>882</v>
      </c>
      <c r="D896" s="1235">
        <v>2</v>
      </c>
      <c r="E896" s="1028">
        <v>23000</v>
      </c>
      <c r="F896" s="1049">
        <v>40</v>
      </c>
      <c r="G896" s="1236">
        <v>80</v>
      </c>
      <c r="H896" s="613"/>
      <c r="I896" s="613"/>
      <c r="J896" s="1031">
        <v>75</v>
      </c>
      <c r="K896" s="1032" t="s">
        <v>347</v>
      </c>
      <c r="L896" s="1251">
        <v>15</v>
      </c>
      <c r="M896" s="1232">
        <v>2000</v>
      </c>
      <c r="N896" s="1264">
        <v>0.25</v>
      </c>
      <c r="O896" s="815">
        <v>1</v>
      </c>
      <c r="P896" s="812">
        <v>22</v>
      </c>
      <c r="Q896" s="507">
        <v>0.3333</v>
      </c>
      <c r="R896" s="201">
        <v>643.8</v>
      </c>
      <c r="S896" s="201">
        <v>91</v>
      </c>
      <c r="T896" s="1278">
        <v>1884.5</v>
      </c>
      <c r="U896" s="506">
        <v>18.74</v>
      </c>
      <c r="V896" s="613">
        <v>11.5</v>
      </c>
      <c r="W896" s="613"/>
      <c r="X896" s="506">
        <v>9.3324</v>
      </c>
      <c r="Y896" s="827">
        <v>11.5</v>
      </c>
      <c r="Z896" s="828">
        <v>40.28933333333333</v>
      </c>
      <c r="AA896" s="931">
        <v>80.57866666666666</v>
      </c>
      <c r="AB896" s="830"/>
      <c r="AC896" s="940">
        <v>46</v>
      </c>
      <c r="AD896" s="830" t="s">
        <v>483</v>
      </c>
      <c r="AE896" s="830">
        <v>0</v>
      </c>
      <c r="AF896" s="803">
        <v>14103</v>
      </c>
    </row>
    <row r="897" spans="1:32" ht="14.25">
      <c r="A897" s="154">
        <v>14104</v>
      </c>
      <c r="B897" s="992"/>
      <c r="C897" s="992" t="s">
        <v>883</v>
      </c>
      <c r="D897" s="1237">
        <v>2</v>
      </c>
      <c r="E897" s="504">
        <v>31000</v>
      </c>
      <c r="F897" s="621">
        <v>52</v>
      </c>
      <c r="G897" s="1238">
        <v>100</v>
      </c>
      <c r="H897" s="506"/>
      <c r="I897" s="506"/>
      <c r="J897" s="764">
        <v>75</v>
      </c>
      <c r="K897" s="145" t="s">
        <v>347</v>
      </c>
      <c r="L897" s="492">
        <v>15</v>
      </c>
      <c r="M897" s="780">
        <v>2000</v>
      </c>
      <c r="N897" s="500">
        <v>0.25</v>
      </c>
      <c r="O897" s="788">
        <v>0.95</v>
      </c>
      <c r="P897" s="492">
        <v>22</v>
      </c>
      <c r="Q897" s="609">
        <v>0.2</v>
      </c>
      <c r="R897" s="610">
        <v>1131</v>
      </c>
      <c r="S897" s="610">
        <v>91</v>
      </c>
      <c r="T897" s="1277">
        <v>2440.5</v>
      </c>
      <c r="U897" s="608">
        <v>24.96</v>
      </c>
      <c r="V897" s="506">
        <v>14.725</v>
      </c>
      <c r="W897" s="506"/>
      <c r="X897" s="608">
        <v>5.6000000000000005</v>
      </c>
      <c r="Y897" s="823">
        <v>14.725</v>
      </c>
      <c r="Z897" s="831">
        <v>51.9915</v>
      </c>
      <c r="AA897" s="932">
        <v>103.983</v>
      </c>
      <c r="AB897" s="826"/>
      <c r="AC897" s="939">
        <v>62</v>
      </c>
      <c r="AD897" s="826" t="s">
        <v>483</v>
      </c>
      <c r="AE897" s="826">
        <v>0</v>
      </c>
      <c r="AF897" s="804">
        <v>14104</v>
      </c>
    </row>
    <row r="898" spans="1:32" ht="14.25">
      <c r="A898" s="990">
        <v>14105</v>
      </c>
      <c r="B898" s="991"/>
      <c r="C898" s="991" t="s">
        <v>884</v>
      </c>
      <c r="D898" s="1235">
        <v>2</v>
      </c>
      <c r="E898" s="1028">
        <v>39000</v>
      </c>
      <c r="F898" s="1049">
        <v>63</v>
      </c>
      <c r="G898" s="1236">
        <v>130</v>
      </c>
      <c r="H898" s="613"/>
      <c r="I898" s="613"/>
      <c r="J898" s="1031">
        <v>75</v>
      </c>
      <c r="K898" s="1032" t="s">
        <v>347</v>
      </c>
      <c r="L898" s="1251">
        <v>15</v>
      </c>
      <c r="M898" s="1232">
        <v>2000</v>
      </c>
      <c r="N898" s="1264">
        <v>0.25</v>
      </c>
      <c r="O898" s="815">
        <v>0.9</v>
      </c>
      <c r="P898" s="812">
        <v>22</v>
      </c>
      <c r="Q898" s="507">
        <v>0.02</v>
      </c>
      <c r="R898" s="201">
        <v>435</v>
      </c>
      <c r="S898" s="201">
        <v>49</v>
      </c>
      <c r="T898" s="1278">
        <v>2996.5</v>
      </c>
      <c r="U898" s="506">
        <v>8.233333333333333</v>
      </c>
      <c r="V898" s="613">
        <v>17.55</v>
      </c>
      <c r="W898" s="613"/>
      <c r="X898" s="506">
        <v>0.56</v>
      </c>
      <c r="Y898" s="827">
        <v>17.55</v>
      </c>
      <c r="Z898" s="828">
        <v>63.25366666666667</v>
      </c>
      <c r="AA898" s="931">
        <v>126.50733333333334</v>
      </c>
      <c r="AB898" s="830"/>
      <c r="AC898" s="940">
        <v>78</v>
      </c>
      <c r="AD898" s="830" t="s">
        <v>483</v>
      </c>
      <c r="AE898" s="830">
        <v>0</v>
      </c>
      <c r="AF898" s="803">
        <v>14105</v>
      </c>
    </row>
    <row r="899" spans="1:32" ht="14.25">
      <c r="A899" s="154">
        <v>14106</v>
      </c>
      <c r="B899" s="992"/>
      <c r="C899" s="992" t="s">
        <v>885</v>
      </c>
      <c r="D899" s="547"/>
      <c r="E899" s="504">
        <v>12000</v>
      </c>
      <c r="F899" s="621">
        <v>37</v>
      </c>
      <c r="G899" s="1148"/>
      <c r="H899" s="506"/>
      <c r="I899" s="506"/>
      <c r="J899" s="764">
        <v>50</v>
      </c>
      <c r="K899" s="145" t="s">
        <v>347</v>
      </c>
      <c r="L899" s="492">
        <v>10</v>
      </c>
      <c r="M899" s="780">
        <v>2000</v>
      </c>
      <c r="N899" s="500">
        <v>0.25</v>
      </c>
      <c r="O899" s="788">
        <v>1.45</v>
      </c>
      <c r="P899" s="492">
        <v>9</v>
      </c>
      <c r="Q899" s="609">
        <v>0.02</v>
      </c>
      <c r="R899" s="610">
        <v>600.3</v>
      </c>
      <c r="S899" s="610">
        <v>49</v>
      </c>
      <c r="T899" s="1277">
        <v>1251</v>
      </c>
      <c r="U899" s="608">
        <v>11.051666666666666</v>
      </c>
      <c r="V899" s="506">
        <v>8.7</v>
      </c>
      <c r="W899" s="506"/>
      <c r="X899" s="608">
        <v>0.56</v>
      </c>
      <c r="Y899" s="823">
        <v>8.7</v>
      </c>
      <c r="Z899" s="831">
        <v>37.092</v>
      </c>
      <c r="AA899" s="868"/>
      <c r="AB899" s="826"/>
      <c r="AC899" s="939">
        <v>24</v>
      </c>
      <c r="AD899" s="826" t="s">
        <v>483</v>
      </c>
      <c r="AE899" s="826">
        <v>0</v>
      </c>
      <c r="AF899" s="804">
        <v>14106</v>
      </c>
    </row>
    <row r="900" spans="1:32" ht="14.25">
      <c r="A900" s="990">
        <v>14107</v>
      </c>
      <c r="B900" s="991"/>
      <c r="C900" s="991" t="s">
        <v>886</v>
      </c>
      <c r="D900" s="1040"/>
      <c r="E900" s="1028">
        <v>12000</v>
      </c>
      <c r="F900" s="1049">
        <v>17</v>
      </c>
      <c r="G900" s="1052"/>
      <c r="H900" s="613"/>
      <c r="I900" s="613"/>
      <c r="J900" s="1031">
        <v>100</v>
      </c>
      <c r="K900" s="1032" t="s">
        <v>347</v>
      </c>
      <c r="L900" s="1251">
        <v>15</v>
      </c>
      <c r="M900" s="1232">
        <v>4000</v>
      </c>
      <c r="N900" s="1264">
        <v>0.25</v>
      </c>
      <c r="O900" s="815">
        <v>1.9</v>
      </c>
      <c r="P900" s="812">
        <v>8</v>
      </c>
      <c r="Q900" s="507">
        <v>0.05</v>
      </c>
      <c r="R900" s="201">
        <v>643.8</v>
      </c>
      <c r="S900" s="201">
        <v>56</v>
      </c>
      <c r="T900" s="1278">
        <v>938</v>
      </c>
      <c r="U900" s="511">
        <v>47.63999999999999</v>
      </c>
      <c r="V900" s="613">
        <v>5.699999999999999</v>
      </c>
      <c r="W900" s="613"/>
      <c r="X900" s="511">
        <v>1.4000000000000001</v>
      </c>
      <c r="Y900" s="827">
        <v>5.699999999999999</v>
      </c>
      <c r="Z900" s="828">
        <v>16.588</v>
      </c>
      <c r="AA900" s="869"/>
      <c r="AB900" s="830"/>
      <c r="AC900" s="940">
        <v>24</v>
      </c>
      <c r="AD900" s="830" t="s">
        <v>483</v>
      </c>
      <c r="AE900" s="830">
        <v>0</v>
      </c>
      <c r="AF900" s="803">
        <v>14107</v>
      </c>
    </row>
    <row r="901" spans="1:32" ht="14.25">
      <c r="A901" s="154">
        <v>14109</v>
      </c>
      <c r="B901" s="992"/>
      <c r="C901" s="992" t="s">
        <v>887</v>
      </c>
      <c r="D901" s="510"/>
      <c r="E901" s="504">
        <v>5600</v>
      </c>
      <c r="F901" s="621">
        <v>12.5</v>
      </c>
      <c r="G901" s="1053"/>
      <c r="H901" s="506"/>
      <c r="I901" s="506"/>
      <c r="J901" s="764">
        <v>70</v>
      </c>
      <c r="K901" s="145" t="s">
        <v>347</v>
      </c>
      <c r="L901" s="492">
        <v>10</v>
      </c>
      <c r="M901" s="780">
        <v>2000</v>
      </c>
      <c r="N901" s="500">
        <v>0.25</v>
      </c>
      <c r="O901" s="788">
        <v>1</v>
      </c>
      <c r="P901" s="492">
        <v>5</v>
      </c>
      <c r="Q901" s="609">
        <v>0.125</v>
      </c>
      <c r="R901" s="610">
        <v>1000.5</v>
      </c>
      <c r="S901" s="610">
        <v>70</v>
      </c>
      <c r="T901" s="1277">
        <v>594.2</v>
      </c>
      <c r="U901" s="620">
        <v>36.45</v>
      </c>
      <c r="V901" s="506">
        <v>2.8</v>
      </c>
      <c r="W901" s="506"/>
      <c r="X901" s="620">
        <v>3.5</v>
      </c>
      <c r="Y901" s="823">
        <v>2.8</v>
      </c>
      <c r="Z901" s="831">
        <v>12.417428571428575</v>
      </c>
      <c r="AA901" s="866"/>
      <c r="AB901" s="826"/>
      <c r="AC901" s="939">
        <v>11.200000000000001</v>
      </c>
      <c r="AD901" s="826" t="s">
        <v>483</v>
      </c>
      <c r="AE901" s="826">
        <v>0</v>
      </c>
      <c r="AF901" s="804">
        <v>14109</v>
      </c>
    </row>
    <row r="902" spans="1:32" ht="14.25">
      <c r="A902" s="994">
        <v>14110</v>
      </c>
      <c r="B902" s="1000"/>
      <c r="C902" s="1000" t="s">
        <v>888</v>
      </c>
      <c r="D902" s="1239">
        <v>850</v>
      </c>
      <c r="E902" s="1070">
        <v>39000</v>
      </c>
      <c r="F902" s="1136">
        <v>71</v>
      </c>
      <c r="G902" s="1240">
        <v>0.0835294118</v>
      </c>
      <c r="H902" s="1073"/>
      <c r="I902" s="1073"/>
      <c r="J902" s="1074">
        <v>70</v>
      </c>
      <c r="K902" s="1075" t="s">
        <v>347</v>
      </c>
      <c r="L902" s="1254">
        <v>15</v>
      </c>
      <c r="M902" s="1255">
        <v>2000</v>
      </c>
      <c r="N902" s="1266">
        <v>0.25</v>
      </c>
      <c r="O902" s="815">
        <v>1.1</v>
      </c>
      <c r="P902" s="812">
        <v>22</v>
      </c>
      <c r="Q902" s="507">
        <v>0.2</v>
      </c>
      <c r="R902" s="201">
        <v>1044</v>
      </c>
      <c r="S902" s="201">
        <v>91</v>
      </c>
      <c r="T902" s="1281">
        <v>2996.5</v>
      </c>
      <c r="U902" s="511">
        <v>77.26666666666667</v>
      </c>
      <c r="V902" s="1073">
        <v>21.450000000000003</v>
      </c>
      <c r="W902" s="1073"/>
      <c r="X902" s="511">
        <v>5.6000000000000005</v>
      </c>
      <c r="Y902" s="827">
        <v>21.450000000000003</v>
      </c>
      <c r="Z902" s="828">
        <v>70.68285714285716</v>
      </c>
      <c r="AA902" s="933">
        <v>0.08315630252100842</v>
      </c>
      <c r="AB902" s="830"/>
      <c r="AC902" s="940">
        <v>78</v>
      </c>
      <c r="AD902" s="830" t="s">
        <v>483</v>
      </c>
      <c r="AE902" s="830">
        <v>0</v>
      </c>
      <c r="AF902" s="803">
        <v>14110</v>
      </c>
    </row>
    <row r="903" spans="1:32" ht="28.5">
      <c r="A903" s="154">
        <v>14111</v>
      </c>
      <c r="B903" s="992"/>
      <c r="C903" s="992" t="s">
        <v>1264</v>
      </c>
      <c r="D903" s="1241">
        <v>1300</v>
      </c>
      <c r="E903" s="504">
        <v>76000</v>
      </c>
      <c r="F903" s="621">
        <v>123</v>
      </c>
      <c r="G903" s="1242">
        <v>0.0946153846</v>
      </c>
      <c r="H903" s="506"/>
      <c r="I903" s="506"/>
      <c r="J903" s="764">
        <v>70</v>
      </c>
      <c r="K903" s="145" t="s">
        <v>347</v>
      </c>
      <c r="L903" s="492">
        <v>15</v>
      </c>
      <c r="M903" s="780">
        <v>2000</v>
      </c>
      <c r="N903" s="500">
        <v>0.25</v>
      </c>
      <c r="O903" s="788">
        <v>0.85</v>
      </c>
      <c r="P903" s="492">
        <v>22</v>
      </c>
      <c r="Q903" s="507"/>
      <c r="R903" s="201" t="s">
        <v>413</v>
      </c>
      <c r="S903" s="201"/>
      <c r="T903" s="1277">
        <v>5568</v>
      </c>
      <c r="U903" s="511"/>
      <c r="V903" s="506">
        <v>32.3</v>
      </c>
      <c r="W903" s="506"/>
      <c r="X903" s="511"/>
      <c r="Y903" s="823">
        <v>32.3</v>
      </c>
      <c r="Z903" s="831">
        <v>123.02714285714286</v>
      </c>
      <c r="AA903" s="934">
        <v>0.09463626373626374</v>
      </c>
      <c r="AB903" s="826"/>
      <c r="AC903" s="939">
        <v>152</v>
      </c>
      <c r="AD903" s="826" t="s">
        <v>483</v>
      </c>
      <c r="AE903" s="826">
        <v>0</v>
      </c>
      <c r="AF903" s="804">
        <v>14111</v>
      </c>
    </row>
    <row r="904" spans="1:32" ht="14.25">
      <c r="A904" s="994">
        <v>14112</v>
      </c>
      <c r="B904" s="1000"/>
      <c r="C904" s="1000" t="s">
        <v>889</v>
      </c>
      <c r="D904" s="1239">
        <v>850</v>
      </c>
      <c r="E904" s="1070">
        <v>8200</v>
      </c>
      <c r="F904" s="1136">
        <v>17</v>
      </c>
      <c r="G904" s="1240">
        <v>0.02</v>
      </c>
      <c r="H904" s="1073"/>
      <c r="I904" s="1073"/>
      <c r="J904" s="1074">
        <v>70</v>
      </c>
      <c r="K904" s="1075" t="s">
        <v>347</v>
      </c>
      <c r="L904" s="1254">
        <v>15</v>
      </c>
      <c r="M904" s="1255">
        <v>2000</v>
      </c>
      <c r="N904" s="1266">
        <v>0.25</v>
      </c>
      <c r="O904" s="815">
        <v>1.65</v>
      </c>
      <c r="P904" s="812">
        <v>5</v>
      </c>
      <c r="Q904" s="603"/>
      <c r="R904" s="605" t="s">
        <v>413</v>
      </c>
      <c r="S904" s="606"/>
      <c r="T904" s="1281">
        <v>634.9</v>
      </c>
      <c r="U904" s="604"/>
      <c r="V904" s="1073">
        <v>6.764999999999999</v>
      </c>
      <c r="W904" s="1073"/>
      <c r="X904" s="604"/>
      <c r="Y904" s="827">
        <v>6.764999999999999</v>
      </c>
      <c r="Z904" s="828">
        <v>17.4185</v>
      </c>
      <c r="AA904" s="933">
        <v>0.020492352941176472</v>
      </c>
      <c r="AB904" s="830"/>
      <c r="AC904" s="940">
        <v>16.4</v>
      </c>
      <c r="AD904" s="830" t="s">
        <v>483</v>
      </c>
      <c r="AE904" s="830">
        <v>0</v>
      </c>
      <c r="AF904" s="803">
        <v>14112</v>
      </c>
    </row>
    <row r="905" spans="1:32" ht="14.25">
      <c r="A905" s="154">
        <v>14114</v>
      </c>
      <c r="B905" s="992"/>
      <c r="C905" s="992" t="s">
        <v>890</v>
      </c>
      <c r="D905" s="1241">
        <v>600</v>
      </c>
      <c r="E905" s="504">
        <v>6900</v>
      </c>
      <c r="F905" s="621">
        <v>20</v>
      </c>
      <c r="G905" s="1242">
        <v>0.0333333333</v>
      </c>
      <c r="H905" s="506"/>
      <c r="I905" s="506"/>
      <c r="J905" s="764">
        <v>70</v>
      </c>
      <c r="K905" s="145" t="s">
        <v>347</v>
      </c>
      <c r="L905" s="492">
        <v>15</v>
      </c>
      <c r="M905" s="780">
        <v>2000</v>
      </c>
      <c r="N905" s="500">
        <v>0.25</v>
      </c>
      <c r="O905" s="788">
        <v>1.8</v>
      </c>
      <c r="P905" s="492">
        <v>26</v>
      </c>
      <c r="Q905" s="507"/>
      <c r="R905" s="201" t="s">
        <v>413</v>
      </c>
      <c r="S905" s="201"/>
      <c r="T905" s="1277">
        <v>817.55</v>
      </c>
      <c r="U905" s="506"/>
      <c r="V905" s="506">
        <v>6.210000000000001</v>
      </c>
      <c r="W905" s="506"/>
      <c r="X905" s="506"/>
      <c r="Y905" s="823">
        <v>6.210000000000001</v>
      </c>
      <c r="Z905" s="831">
        <v>19.678214285714287</v>
      </c>
      <c r="AA905" s="934">
        <v>0.03279702380952381</v>
      </c>
      <c r="AB905" s="826"/>
      <c r="AC905" s="939">
        <v>13.8</v>
      </c>
      <c r="AD905" s="826" t="s">
        <v>483</v>
      </c>
      <c r="AE905" s="826">
        <v>0</v>
      </c>
      <c r="AF905" s="804">
        <v>14114</v>
      </c>
    </row>
    <row r="906" spans="1:32" ht="14.25">
      <c r="A906" s="990">
        <v>14115</v>
      </c>
      <c r="B906" s="991"/>
      <c r="C906" s="991" t="s">
        <v>1265</v>
      </c>
      <c r="D906" s="1239">
        <v>850</v>
      </c>
      <c r="E906" s="1028">
        <v>12000</v>
      </c>
      <c r="F906" s="1049">
        <v>28</v>
      </c>
      <c r="G906" s="1240">
        <v>0.0329411765</v>
      </c>
      <c r="H906" s="613"/>
      <c r="I906" s="613"/>
      <c r="J906" s="1031">
        <v>70</v>
      </c>
      <c r="K906" s="1032" t="s">
        <v>347</v>
      </c>
      <c r="L906" s="1251">
        <v>15</v>
      </c>
      <c r="M906" s="1232">
        <v>2000</v>
      </c>
      <c r="N906" s="1264">
        <v>0.25</v>
      </c>
      <c r="O906" s="815">
        <v>1.45</v>
      </c>
      <c r="P906" s="812">
        <v>26</v>
      </c>
      <c r="Q906" s="609">
        <v>0.05</v>
      </c>
      <c r="R906" s="610">
        <v>1653</v>
      </c>
      <c r="S906" s="610">
        <v>56</v>
      </c>
      <c r="T906" s="1278">
        <v>1172</v>
      </c>
      <c r="U906" s="608">
        <v>24.957142857142856</v>
      </c>
      <c r="V906" s="613">
        <v>8.7</v>
      </c>
      <c r="W906" s="613"/>
      <c r="X906" s="608">
        <v>1.4000000000000001</v>
      </c>
      <c r="Y906" s="827">
        <v>8.7</v>
      </c>
      <c r="Z906" s="828">
        <v>27.98714285714286</v>
      </c>
      <c r="AA906" s="933">
        <v>0.03292605042016807</v>
      </c>
      <c r="AB906" s="830"/>
      <c r="AC906" s="940">
        <v>24</v>
      </c>
      <c r="AD906" s="830" t="s">
        <v>483</v>
      </c>
      <c r="AE906" s="830">
        <v>0</v>
      </c>
      <c r="AF906" s="803">
        <v>14115</v>
      </c>
    </row>
    <row r="907" spans="1:32" ht="14.25">
      <c r="A907" s="154">
        <v>14116</v>
      </c>
      <c r="B907" s="992"/>
      <c r="C907" s="992" t="s">
        <v>891</v>
      </c>
      <c r="D907" s="510"/>
      <c r="E907" s="504">
        <v>1200</v>
      </c>
      <c r="F907" s="621">
        <v>4.9</v>
      </c>
      <c r="G907" s="1053"/>
      <c r="H907" s="506"/>
      <c r="I907" s="506"/>
      <c r="J907" s="764">
        <v>200</v>
      </c>
      <c r="K907" s="145" t="s">
        <v>347</v>
      </c>
      <c r="L907" s="492">
        <v>8</v>
      </c>
      <c r="M907" s="780">
        <v>2000</v>
      </c>
      <c r="N907" s="500">
        <v>0.1</v>
      </c>
      <c r="O907" s="788">
        <v>5.65</v>
      </c>
      <c r="P907" s="492">
        <v>4</v>
      </c>
      <c r="Q907" s="507">
        <v>0.167</v>
      </c>
      <c r="R907" s="201">
        <v>1044</v>
      </c>
      <c r="S907" s="201">
        <v>56</v>
      </c>
      <c r="T907" s="1277">
        <v>208.6</v>
      </c>
      <c r="U907" s="511">
        <v>28.1</v>
      </c>
      <c r="V907" s="506">
        <v>3.39</v>
      </c>
      <c r="W907" s="506"/>
      <c r="X907" s="511">
        <v>4.676</v>
      </c>
      <c r="Y907" s="823">
        <v>3.39</v>
      </c>
      <c r="Z907" s="831">
        <v>4.8763000000000005</v>
      </c>
      <c r="AA907" s="866"/>
      <c r="AB907" s="826"/>
      <c r="AC907" s="939">
        <v>2.4</v>
      </c>
      <c r="AD907" s="826" t="s">
        <v>483</v>
      </c>
      <c r="AE907" s="826">
        <v>0</v>
      </c>
      <c r="AF907" s="804">
        <v>14116</v>
      </c>
    </row>
    <row r="908" spans="1:32" ht="14.25">
      <c r="A908" s="990">
        <v>14117</v>
      </c>
      <c r="B908" s="991"/>
      <c r="C908" s="991" t="s">
        <v>892</v>
      </c>
      <c r="D908" s="1040"/>
      <c r="E908" s="1028">
        <v>3400</v>
      </c>
      <c r="F908" s="1049">
        <v>7.5</v>
      </c>
      <c r="G908" s="1052"/>
      <c r="H908" s="613"/>
      <c r="I908" s="613"/>
      <c r="J908" s="1031">
        <v>200</v>
      </c>
      <c r="K908" s="1032" t="s">
        <v>347</v>
      </c>
      <c r="L908" s="1251">
        <v>8</v>
      </c>
      <c r="M908" s="1232">
        <v>2000</v>
      </c>
      <c r="N908" s="1264">
        <v>0.1</v>
      </c>
      <c r="O908" s="815">
        <v>2.6</v>
      </c>
      <c r="P908" s="812">
        <v>4</v>
      </c>
      <c r="Q908" s="609">
        <v>0.25</v>
      </c>
      <c r="R908" s="610">
        <v>1870.5</v>
      </c>
      <c r="S908" s="610">
        <v>98</v>
      </c>
      <c r="T908" s="1278">
        <v>495.7</v>
      </c>
      <c r="U908" s="620">
        <v>25.14375</v>
      </c>
      <c r="V908" s="613">
        <v>4.42</v>
      </c>
      <c r="W908" s="613"/>
      <c r="X908" s="620">
        <v>7</v>
      </c>
      <c r="Y908" s="827">
        <v>4.42</v>
      </c>
      <c r="Z908" s="828">
        <v>7.588350000000001</v>
      </c>
      <c r="AA908" s="869"/>
      <c r="AB908" s="830"/>
      <c r="AC908" s="940">
        <v>6.8</v>
      </c>
      <c r="AD908" s="830" t="s">
        <v>483</v>
      </c>
      <c r="AE908" s="830">
        <v>0</v>
      </c>
      <c r="AF908" s="803">
        <v>14117</v>
      </c>
    </row>
    <row r="909" spans="1:32" ht="14.25">
      <c r="A909" s="154">
        <v>14118</v>
      </c>
      <c r="B909" s="992"/>
      <c r="C909" s="992" t="s">
        <v>893</v>
      </c>
      <c r="D909" s="547"/>
      <c r="E909" s="504">
        <v>4500</v>
      </c>
      <c r="F909" s="621">
        <v>10</v>
      </c>
      <c r="G909" s="1148"/>
      <c r="H909" s="506"/>
      <c r="I909" s="506"/>
      <c r="J909" s="764">
        <v>150</v>
      </c>
      <c r="K909" s="145" t="s">
        <v>347</v>
      </c>
      <c r="L909" s="492">
        <v>10</v>
      </c>
      <c r="M909" s="780">
        <v>2000</v>
      </c>
      <c r="N909" s="500">
        <v>0.1</v>
      </c>
      <c r="O909" s="788">
        <v>2.2</v>
      </c>
      <c r="P909" s="492">
        <v>9</v>
      </c>
      <c r="Q909" s="507">
        <v>0.05</v>
      </c>
      <c r="R909" s="201">
        <v>539.4</v>
      </c>
      <c r="S909" s="201">
        <v>42</v>
      </c>
      <c r="T909" s="1277">
        <v>603</v>
      </c>
      <c r="U909" s="506">
        <v>9.896666666666667</v>
      </c>
      <c r="V909" s="506">
        <v>4.95</v>
      </c>
      <c r="W909" s="506"/>
      <c r="X909" s="506">
        <v>1.4000000000000001</v>
      </c>
      <c r="Y909" s="823">
        <v>4.95</v>
      </c>
      <c r="Z909" s="831">
        <v>9.866999999999999</v>
      </c>
      <c r="AA909" s="868"/>
      <c r="AB909" s="826"/>
      <c r="AC909" s="939">
        <v>9</v>
      </c>
      <c r="AD909" s="826" t="s">
        <v>483</v>
      </c>
      <c r="AE909" s="826">
        <v>0</v>
      </c>
      <c r="AF909" s="804">
        <v>14118</v>
      </c>
    </row>
    <row r="910" spans="1:32" ht="14.25">
      <c r="A910" s="990">
        <v>14119</v>
      </c>
      <c r="B910" s="991"/>
      <c r="C910" s="991" t="s">
        <v>894</v>
      </c>
      <c r="D910" s="1243"/>
      <c r="E910" s="1028">
        <v>7700</v>
      </c>
      <c r="F910" s="1049">
        <v>14.5</v>
      </c>
      <c r="G910" s="1244"/>
      <c r="H910" s="613"/>
      <c r="I910" s="613"/>
      <c r="J910" s="1031">
        <v>100</v>
      </c>
      <c r="K910" s="1032" t="s">
        <v>347</v>
      </c>
      <c r="L910" s="1251">
        <v>15</v>
      </c>
      <c r="M910" s="1232">
        <v>2000</v>
      </c>
      <c r="N910" s="1264">
        <v>0.1</v>
      </c>
      <c r="O910" s="815">
        <v>1.7</v>
      </c>
      <c r="P910" s="812">
        <v>4</v>
      </c>
      <c r="Q910" s="609">
        <v>0.1</v>
      </c>
      <c r="R910" s="610">
        <v>1479</v>
      </c>
      <c r="S910" s="651">
        <v>77</v>
      </c>
      <c r="T910" s="1278">
        <v>652.6</v>
      </c>
      <c r="U910" s="616">
        <v>28.166666666666668</v>
      </c>
      <c r="V910" s="613">
        <v>6.545</v>
      </c>
      <c r="W910" s="613"/>
      <c r="X910" s="616">
        <v>2.8000000000000003</v>
      </c>
      <c r="Y910" s="827">
        <v>6.545</v>
      </c>
      <c r="Z910" s="828">
        <v>14.378100000000002</v>
      </c>
      <c r="AA910" s="935"/>
      <c r="AB910" s="830"/>
      <c r="AC910" s="940">
        <v>15.4</v>
      </c>
      <c r="AD910" s="830" t="s">
        <v>483</v>
      </c>
      <c r="AE910" s="830">
        <v>0</v>
      </c>
      <c r="AF910" s="803">
        <v>14119</v>
      </c>
    </row>
    <row r="911" spans="1:32" ht="14.25">
      <c r="A911" s="154">
        <v>14127</v>
      </c>
      <c r="B911" s="992"/>
      <c r="C911" s="992" t="s">
        <v>1369</v>
      </c>
      <c r="D911" s="781">
        <v>10</v>
      </c>
      <c r="E911" s="504">
        <v>24000</v>
      </c>
      <c r="F911" s="621">
        <v>40</v>
      </c>
      <c r="G911" s="1227"/>
      <c r="H911" s="506"/>
      <c r="I911" s="506"/>
      <c r="J911" s="764">
        <v>100</v>
      </c>
      <c r="K911" s="145" t="s">
        <v>347</v>
      </c>
      <c r="L911" s="492">
        <v>15</v>
      </c>
      <c r="M911" s="780">
        <v>2000</v>
      </c>
      <c r="N911" s="500">
        <v>0.1</v>
      </c>
      <c r="O911" s="788">
        <v>1.2</v>
      </c>
      <c r="P911" s="492">
        <v>4</v>
      </c>
      <c r="Q911" s="507">
        <v>0.1</v>
      </c>
      <c r="R911" s="201">
        <v>1609.5</v>
      </c>
      <c r="S911" s="203">
        <v>77</v>
      </c>
      <c r="T911" s="1277">
        <v>1924</v>
      </c>
      <c r="U911" s="516">
        <v>28.725</v>
      </c>
      <c r="V911" s="506">
        <v>14.399999999999999</v>
      </c>
      <c r="W911" s="506"/>
      <c r="X911" s="516">
        <v>2.8000000000000003</v>
      </c>
      <c r="Y911" s="823">
        <v>14.399999999999999</v>
      </c>
      <c r="Z911" s="831">
        <v>37.004000000000005</v>
      </c>
      <c r="AA911" s="921"/>
      <c r="AB911" s="826"/>
      <c r="AC911" s="939">
        <v>48</v>
      </c>
      <c r="AD911" s="826" t="s">
        <v>483</v>
      </c>
      <c r="AE911" s="826">
        <v>0</v>
      </c>
      <c r="AF911" s="804">
        <v>14127</v>
      </c>
    </row>
    <row r="912" spans="1:32" ht="14.25">
      <c r="A912" s="990">
        <v>14128</v>
      </c>
      <c r="B912" s="991"/>
      <c r="C912" s="991" t="s">
        <v>1370</v>
      </c>
      <c r="D912" s="1243">
        <v>12</v>
      </c>
      <c r="E912" s="1028">
        <v>2100</v>
      </c>
      <c r="F912" s="1049">
        <v>20.5</v>
      </c>
      <c r="G912" s="1244"/>
      <c r="H912" s="613"/>
      <c r="I912" s="613"/>
      <c r="J912" s="1031">
        <v>20</v>
      </c>
      <c r="K912" s="1032" t="s">
        <v>347</v>
      </c>
      <c r="L912" s="1251">
        <v>15</v>
      </c>
      <c r="M912" s="1232">
        <v>400</v>
      </c>
      <c r="N912" s="1264">
        <v>0.1</v>
      </c>
      <c r="O912" s="815">
        <v>1.5</v>
      </c>
      <c r="P912" s="812">
        <v>4</v>
      </c>
      <c r="Q912" s="609">
        <v>0.1</v>
      </c>
      <c r="R912" s="610">
        <v>2088</v>
      </c>
      <c r="S912" s="610">
        <v>77</v>
      </c>
      <c r="T912" s="1278">
        <v>215.79999999999998</v>
      </c>
      <c r="U912" s="608">
        <v>36.88333333333333</v>
      </c>
      <c r="V912" s="613">
        <v>7.875</v>
      </c>
      <c r="W912" s="613"/>
      <c r="X912" s="608">
        <v>2.8000000000000003</v>
      </c>
      <c r="Y912" s="827">
        <v>7.875</v>
      </c>
      <c r="Z912" s="828">
        <v>20.5315</v>
      </c>
      <c r="AA912" s="935"/>
      <c r="AB912" s="830"/>
      <c r="AC912" s="940">
        <v>4.2</v>
      </c>
      <c r="AD912" s="830" t="s">
        <v>483</v>
      </c>
      <c r="AE912" s="830">
        <v>0</v>
      </c>
      <c r="AF912" s="803">
        <v>14128</v>
      </c>
    </row>
    <row r="913" spans="1:32" ht="14.25">
      <c r="A913" s="154">
        <v>14129</v>
      </c>
      <c r="B913" s="992"/>
      <c r="C913" s="992" t="s">
        <v>1371</v>
      </c>
      <c r="D913" s="781">
        <v>80</v>
      </c>
      <c r="E913" s="504">
        <v>5700</v>
      </c>
      <c r="F913" s="621">
        <v>45.5</v>
      </c>
      <c r="G913" s="1227"/>
      <c r="H913" s="506"/>
      <c r="I913" s="506"/>
      <c r="J913" s="764">
        <v>20</v>
      </c>
      <c r="K913" s="145" t="s">
        <v>347</v>
      </c>
      <c r="L913" s="492">
        <v>15</v>
      </c>
      <c r="M913" s="780">
        <v>400</v>
      </c>
      <c r="N913" s="500">
        <v>0.1</v>
      </c>
      <c r="O913" s="788">
        <v>1.15</v>
      </c>
      <c r="P913" s="492">
        <v>4</v>
      </c>
      <c r="Q913" s="507">
        <v>0.05</v>
      </c>
      <c r="R913" s="201">
        <v>1131</v>
      </c>
      <c r="S913" s="201">
        <v>77</v>
      </c>
      <c r="T913" s="1277">
        <v>496.59999999999997</v>
      </c>
      <c r="U913" s="506">
        <v>20.566666666666666</v>
      </c>
      <c r="V913" s="506">
        <v>16.3875</v>
      </c>
      <c r="W913" s="506"/>
      <c r="X913" s="506">
        <v>1.4000000000000001</v>
      </c>
      <c r="Y913" s="823">
        <v>16.3875</v>
      </c>
      <c r="Z913" s="831">
        <v>45.33925000000001</v>
      </c>
      <c r="AA913" s="921"/>
      <c r="AB913" s="826"/>
      <c r="AC913" s="939">
        <v>11.4</v>
      </c>
      <c r="AD913" s="826" t="s">
        <v>483</v>
      </c>
      <c r="AE913" s="826">
        <v>0</v>
      </c>
      <c r="AF913" s="804">
        <v>14129</v>
      </c>
    </row>
    <row r="914" spans="1:32" ht="14.25">
      <c r="A914" s="994">
        <v>14120</v>
      </c>
      <c r="B914" s="1000"/>
      <c r="C914" s="1000" t="s">
        <v>895</v>
      </c>
      <c r="D914" s="1245"/>
      <c r="E914" s="1070">
        <v>2400</v>
      </c>
      <c r="F914" s="1156"/>
      <c r="G914" s="1246">
        <v>220</v>
      </c>
      <c r="H914" s="1073"/>
      <c r="I914" s="1073"/>
      <c r="J914" s="1074"/>
      <c r="K914" s="1075" t="s">
        <v>347</v>
      </c>
      <c r="L914" s="1254">
        <v>20</v>
      </c>
      <c r="M914" s="1262">
        <v>60</v>
      </c>
      <c r="N914" s="1266">
        <v>0.1</v>
      </c>
      <c r="O914" s="815" t="s">
        <v>413</v>
      </c>
      <c r="P914" s="812">
        <v>4</v>
      </c>
      <c r="Q914" s="609">
        <v>0.05</v>
      </c>
      <c r="R914" s="610">
        <v>2088</v>
      </c>
      <c r="S914" s="610">
        <v>77</v>
      </c>
      <c r="T914" s="1281">
        <v>198.4</v>
      </c>
      <c r="U914" s="608">
        <v>36.88333333333333</v>
      </c>
      <c r="V914" s="1073">
        <v>0</v>
      </c>
      <c r="W914" s="1073"/>
      <c r="X914" s="608">
        <v>1.4000000000000001</v>
      </c>
      <c r="Y914" s="827">
        <v>0</v>
      </c>
      <c r="Z914" s="886"/>
      <c r="AA914" s="828">
        <v>218.24000000000004</v>
      </c>
      <c r="AB914" s="830"/>
      <c r="AC914" s="940">
        <v>0</v>
      </c>
      <c r="AD914" s="830">
        <v>0</v>
      </c>
      <c r="AE914" s="830">
        <v>0</v>
      </c>
      <c r="AF914" s="803">
        <v>14120</v>
      </c>
    </row>
    <row r="915" spans="1:32" ht="14.25">
      <c r="A915" s="154">
        <v>14121</v>
      </c>
      <c r="B915" s="992"/>
      <c r="C915" s="992" t="s">
        <v>896</v>
      </c>
      <c r="D915" s="548"/>
      <c r="E915" s="504">
        <v>4400</v>
      </c>
      <c r="F915" s="509"/>
      <c r="G915" s="1247">
        <v>400</v>
      </c>
      <c r="H915" s="506"/>
      <c r="I915" s="506"/>
      <c r="J915" s="764"/>
      <c r="K915" s="145" t="s">
        <v>347</v>
      </c>
      <c r="L915" s="492">
        <v>20</v>
      </c>
      <c r="M915" s="787">
        <v>60</v>
      </c>
      <c r="N915" s="500">
        <v>0.1</v>
      </c>
      <c r="O915" s="788" t="s">
        <v>413</v>
      </c>
      <c r="P915" s="492">
        <v>7</v>
      </c>
      <c r="Q915" s="507">
        <v>0.1</v>
      </c>
      <c r="R915" s="201">
        <v>239.96666666666664</v>
      </c>
      <c r="S915" s="201">
        <v>7</v>
      </c>
      <c r="T915" s="1277">
        <v>359.4</v>
      </c>
      <c r="U915" s="506">
        <v>0.7187619047619047</v>
      </c>
      <c r="V915" s="506">
        <v>0</v>
      </c>
      <c r="W915" s="506"/>
      <c r="X915" s="506">
        <v>2.8000000000000003</v>
      </c>
      <c r="Y915" s="823">
        <v>0</v>
      </c>
      <c r="Z915" s="865"/>
      <c r="AA915" s="831">
        <v>395.34000000000003</v>
      </c>
      <c r="AB915" s="826"/>
      <c r="AC915" s="939">
        <v>0</v>
      </c>
      <c r="AD915" s="826">
        <v>0</v>
      </c>
      <c r="AE915" s="826">
        <v>0</v>
      </c>
      <c r="AF915" s="804">
        <v>14121</v>
      </c>
    </row>
    <row r="916" spans="1:32" ht="14.25">
      <c r="A916" s="994">
        <v>14122</v>
      </c>
      <c r="B916" s="1000"/>
      <c r="C916" s="1000" t="s">
        <v>897</v>
      </c>
      <c r="D916" s="1245"/>
      <c r="E916" s="1070">
        <v>6200</v>
      </c>
      <c r="F916" s="1156"/>
      <c r="G916" s="1246">
        <v>590</v>
      </c>
      <c r="H916" s="1073"/>
      <c r="I916" s="1073"/>
      <c r="J916" s="1074"/>
      <c r="K916" s="1075" t="s">
        <v>347</v>
      </c>
      <c r="L916" s="1254">
        <v>20</v>
      </c>
      <c r="M916" s="1262">
        <v>60</v>
      </c>
      <c r="N916" s="1266">
        <v>0.1</v>
      </c>
      <c r="O916" s="815" t="s">
        <v>413</v>
      </c>
      <c r="P916" s="812">
        <v>12</v>
      </c>
      <c r="Q916" s="609">
        <v>0.1</v>
      </c>
      <c r="R916" s="610">
        <v>772.0666666666666</v>
      </c>
      <c r="S916" s="610">
        <v>49</v>
      </c>
      <c r="T916" s="1281">
        <v>534.2</v>
      </c>
      <c r="U916" s="608">
        <v>2.3881904761904758</v>
      </c>
      <c r="V916" s="1073">
        <v>0</v>
      </c>
      <c r="W916" s="1073"/>
      <c r="X916" s="608">
        <v>2.8000000000000003</v>
      </c>
      <c r="Y916" s="827">
        <v>0</v>
      </c>
      <c r="Z916" s="886"/>
      <c r="AA916" s="828">
        <v>587.6200000000001</v>
      </c>
      <c r="AB916" s="830"/>
      <c r="AC916" s="940">
        <v>0</v>
      </c>
      <c r="AD916" s="830">
        <v>0</v>
      </c>
      <c r="AE916" s="830">
        <v>0</v>
      </c>
      <c r="AF916" s="803">
        <v>14122</v>
      </c>
    </row>
    <row r="917" spans="1:32" ht="14.25">
      <c r="A917" s="154">
        <v>14123</v>
      </c>
      <c r="B917" s="992"/>
      <c r="C917" s="992" t="s">
        <v>1372</v>
      </c>
      <c r="D917" s="548"/>
      <c r="E917" s="504">
        <v>12500</v>
      </c>
      <c r="F917" s="509"/>
      <c r="G917" s="1247">
        <v>1120</v>
      </c>
      <c r="H917" s="506"/>
      <c r="I917" s="506"/>
      <c r="J917" s="764"/>
      <c r="K917" s="145" t="s">
        <v>347</v>
      </c>
      <c r="L917" s="492">
        <v>20</v>
      </c>
      <c r="M917" s="787">
        <v>60</v>
      </c>
      <c r="N917" s="500">
        <v>0.1</v>
      </c>
      <c r="O917" s="788" t="s">
        <v>413</v>
      </c>
      <c r="P917" s="492">
        <v>20</v>
      </c>
      <c r="Q917" s="507">
        <v>0.1</v>
      </c>
      <c r="R917" s="201">
        <v>688.6</v>
      </c>
      <c r="S917" s="201">
        <v>105</v>
      </c>
      <c r="T917" s="1277">
        <v>1022.5</v>
      </c>
      <c r="U917" s="506">
        <v>2.305142857142857</v>
      </c>
      <c r="V917" s="506">
        <v>0</v>
      </c>
      <c r="W917" s="506"/>
      <c r="X917" s="506">
        <v>2.8000000000000003</v>
      </c>
      <c r="Y917" s="823">
        <v>0</v>
      </c>
      <c r="Z917" s="865"/>
      <c r="AA917" s="831">
        <v>1124.75</v>
      </c>
      <c r="AB917" s="826"/>
      <c r="AC917" s="939">
        <v>0</v>
      </c>
      <c r="AD917" s="826">
        <v>0</v>
      </c>
      <c r="AE917" s="826">
        <v>0</v>
      </c>
      <c r="AF917" s="804">
        <v>14123</v>
      </c>
    </row>
    <row r="918" spans="1:32" ht="14.25">
      <c r="A918" s="990">
        <v>14124</v>
      </c>
      <c r="B918" s="991"/>
      <c r="C918" s="991" t="s">
        <v>1373</v>
      </c>
      <c r="D918" s="1245"/>
      <c r="E918" s="1028">
        <v>11500</v>
      </c>
      <c r="F918" s="1041"/>
      <c r="G918" s="1246">
        <v>860</v>
      </c>
      <c r="H918" s="613"/>
      <c r="I918" s="613"/>
      <c r="J918" s="1031"/>
      <c r="K918" s="1032" t="s">
        <v>347</v>
      </c>
      <c r="L918" s="1251">
        <v>20</v>
      </c>
      <c r="M918" s="1262">
        <v>50</v>
      </c>
      <c r="N918" s="1264">
        <v>0.1</v>
      </c>
      <c r="O918" s="815" t="s">
        <v>413</v>
      </c>
      <c r="P918" s="812">
        <v>6</v>
      </c>
      <c r="Q918" s="609">
        <v>0.167</v>
      </c>
      <c r="R918" s="610">
        <v>1827</v>
      </c>
      <c r="S918" s="610">
        <v>84</v>
      </c>
      <c r="T918" s="1278">
        <v>779.5</v>
      </c>
      <c r="U918" s="620">
        <v>97.65</v>
      </c>
      <c r="V918" s="613">
        <v>0</v>
      </c>
      <c r="W918" s="613"/>
      <c r="X918" s="620">
        <v>4.676</v>
      </c>
      <c r="Y918" s="827">
        <v>0</v>
      </c>
      <c r="Z918" s="886"/>
      <c r="AA918" s="828">
        <v>857.45</v>
      </c>
      <c r="AB918" s="830"/>
      <c r="AC918" s="940">
        <v>0</v>
      </c>
      <c r="AD918" s="830">
        <v>0</v>
      </c>
      <c r="AE918" s="830">
        <v>0</v>
      </c>
      <c r="AF918" s="803">
        <v>14124</v>
      </c>
    </row>
    <row r="919" spans="1:32" ht="14.25">
      <c r="A919" s="154">
        <v>14125</v>
      </c>
      <c r="B919" s="992"/>
      <c r="C919" s="992" t="s">
        <v>1374</v>
      </c>
      <c r="D919" s="548"/>
      <c r="E919" s="504">
        <v>20000</v>
      </c>
      <c r="F919" s="509"/>
      <c r="G919" s="1247">
        <v>1490</v>
      </c>
      <c r="H919" s="506"/>
      <c r="I919" s="506"/>
      <c r="J919" s="764"/>
      <c r="K919" s="145" t="s">
        <v>347</v>
      </c>
      <c r="L919" s="492">
        <v>20</v>
      </c>
      <c r="M919" s="787">
        <v>50</v>
      </c>
      <c r="N919" s="500">
        <v>0.1</v>
      </c>
      <c r="O919" s="788" t="s">
        <v>413</v>
      </c>
      <c r="P919" s="492">
        <v>10</v>
      </c>
      <c r="Q919" s="507"/>
      <c r="R919" s="201" t="s">
        <v>413</v>
      </c>
      <c r="S919" s="201"/>
      <c r="T919" s="1277">
        <v>1350</v>
      </c>
      <c r="U919" s="506"/>
      <c r="V919" s="506">
        <v>0</v>
      </c>
      <c r="W919" s="506"/>
      <c r="X919" s="506"/>
      <c r="Y919" s="823">
        <v>0</v>
      </c>
      <c r="Z919" s="865"/>
      <c r="AA919" s="831">
        <v>1485.0000000000002</v>
      </c>
      <c r="AB919" s="826"/>
      <c r="AC919" s="939">
        <v>0</v>
      </c>
      <c r="AD919" s="826">
        <v>0</v>
      </c>
      <c r="AE919" s="826">
        <v>0</v>
      </c>
      <c r="AF919" s="804">
        <v>14125</v>
      </c>
    </row>
    <row r="920" spans="1:32" ht="14.25">
      <c r="A920" s="994">
        <v>14126</v>
      </c>
      <c r="B920" s="1000"/>
      <c r="C920" s="1000" t="s">
        <v>1375</v>
      </c>
      <c r="D920" s="1245"/>
      <c r="E920" s="1070">
        <v>900</v>
      </c>
      <c r="F920" s="1156"/>
      <c r="G920" s="1246">
        <v>270</v>
      </c>
      <c r="H920" s="1073"/>
      <c r="I920" s="1073"/>
      <c r="J920" s="1074"/>
      <c r="K920" s="1075" t="s">
        <v>347</v>
      </c>
      <c r="L920" s="1254">
        <v>4</v>
      </c>
      <c r="M920" s="1262">
        <v>4</v>
      </c>
      <c r="N920" s="1266">
        <v>0.1</v>
      </c>
      <c r="O920" s="815" t="s">
        <v>413</v>
      </c>
      <c r="P920" s="812">
        <v>2</v>
      </c>
      <c r="Q920" s="603"/>
      <c r="R920" s="605" t="s">
        <v>413</v>
      </c>
      <c r="S920" s="606"/>
      <c r="T920" s="1281">
        <v>242.9</v>
      </c>
      <c r="U920" s="604"/>
      <c r="V920" s="1073">
        <v>0</v>
      </c>
      <c r="W920" s="1073"/>
      <c r="X920" s="604"/>
      <c r="Y920" s="827">
        <v>0</v>
      </c>
      <c r="Z920" s="886"/>
      <c r="AA920" s="828">
        <v>267.19000000000005</v>
      </c>
      <c r="AB920" s="830"/>
      <c r="AC920" s="940">
        <v>0</v>
      </c>
      <c r="AD920" s="830">
        <v>0</v>
      </c>
      <c r="AE920" s="830">
        <v>0</v>
      </c>
      <c r="AF920" s="803">
        <v>14126</v>
      </c>
    </row>
    <row r="921" spans="1:32" ht="14.25">
      <c r="A921" s="154"/>
      <c r="B921" s="992"/>
      <c r="C921" s="992"/>
      <c r="D921" s="548"/>
      <c r="E921" s="504"/>
      <c r="F921" s="509"/>
      <c r="G921" s="1248"/>
      <c r="H921" s="506"/>
      <c r="I921" s="506"/>
      <c r="J921" s="764"/>
      <c r="L921" s="492"/>
      <c r="M921" s="764"/>
      <c r="N921" s="500"/>
      <c r="O921" s="788" t="s">
        <v>413</v>
      </c>
      <c r="P921" s="492"/>
      <c r="Q921" s="507"/>
      <c r="R921" s="201" t="s">
        <v>413</v>
      </c>
      <c r="S921" s="201"/>
      <c r="T921" s="1277" t="s">
        <v>413</v>
      </c>
      <c r="U921" s="511"/>
      <c r="V921" s="506"/>
      <c r="W921" s="506"/>
      <c r="X921" s="511"/>
      <c r="Y921" s="823" t="s">
        <v>413</v>
      </c>
      <c r="Z921" s="865"/>
      <c r="AA921" s="831"/>
      <c r="AB921" s="826"/>
      <c r="AC921" s="939"/>
      <c r="AD921" s="826" t="s">
        <v>413</v>
      </c>
      <c r="AE921" s="826"/>
      <c r="AF921" s="804"/>
    </row>
    <row r="922" spans="1:32" ht="14.25">
      <c r="A922" s="997"/>
      <c r="B922" s="998"/>
      <c r="C922" s="999" t="s">
        <v>1376</v>
      </c>
      <c r="D922" s="1106"/>
      <c r="E922" s="1058"/>
      <c r="F922" s="1059"/>
      <c r="G922" s="1190"/>
      <c r="H922" s="1061"/>
      <c r="I922" s="1061"/>
      <c r="J922" s="1062"/>
      <c r="K922" s="1063"/>
      <c r="L922" s="1253"/>
      <c r="M922" s="1062"/>
      <c r="N922" s="1265" t="s">
        <v>413</v>
      </c>
      <c r="O922" s="817" t="s">
        <v>413</v>
      </c>
      <c r="P922" s="813"/>
      <c r="Q922" s="609">
        <v>0.05</v>
      </c>
      <c r="R922" s="610">
        <v>983.74</v>
      </c>
      <c r="S922" s="610">
        <v>56</v>
      </c>
      <c r="T922" s="1280" t="s">
        <v>413</v>
      </c>
      <c r="U922" s="608">
        <v>10.599400000000001</v>
      </c>
      <c r="V922" s="1108"/>
      <c r="W922" s="1061"/>
      <c r="X922" s="608">
        <v>1.4000000000000001</v>
      </c>
      <c r="Y922" s="856" t="s">
        <v>413</v>
      </c>
      <c r="Z922" s="857"/>
      <c r="AA922" s="904"/>
      <c r="AB922" s="859"/>
      <c r="AC922" s="942" t="s">
        <v>413</v>
      </c>
      <c r="AD922" s="859" t="s">
        <v>413</v>
      </c>
      <c r="AE922" s="859"/>
      <c r="AF922" s="805"/>
    </row>
    <row r="923" spans="1:32" ht="14.25">
      <c r="A923" s="496"/>
      <c r="B923" s="761"/>
      <c r="C923" s="496"/>
      <c r="D923" s="510"/>
      <c r="E923" s="504"/>
      <c r="F923" s="509"/>
      <c r="G923" s="1053"/>
      <c r="H923" s="506"/>
      <c r="I923" s="506"/>
      <c r="J923" s="764"/>
      <c r="K923" s="495"/>
      <c r="L923" s="496"/>
      <c r="M923" s="764"/>
      <c r="N923" s="500" t="s">
        <v>413</v>
      </c>
      <c r="O923" s="788" t="s">
        <v>413</v>
      </c>
      <c r="P923" s="810"/>
      <c r="Q923" s="507">
        <v>0.05</v>
      </c>
      <c r="R923" s="201">
        <v>759.7199999999999</v>
      </c>
      <c r="S923" s="201">
        <v>56</v>
      </c>
      <c r="T923" s="1277" t="s">
        <v>413</v>
      </c>
      <c r="U923" s="506">
        <v>8.3132</v>
      </c>
      <c r="V923" s="511"/>
      <c r="W923" s="506"/>
      <c r="X923" s="506">
        <v>1.4000000000000001</v>
      </c>
      <c r="Y923" s="823" t="s">
        <v>413</v>
      </c>
      <c r="Z923" s="831"/>
      <c r="AA923" s="866"/>
      <c r="AB923" s="802"/>
      <c r="AC923" s="939" t="s">
        <v>413</v>
      </c>
      <c r="AD923" s="826" t="s">
        <v>413</v>
      </c>
      <c r="AE923" s="826"/>
      <c r="AF923" s="802"/>
    </row>
    <row r="924" spans="1:32" ht="14.25">
      <c r="A924" s="987">
        <v>15000</v>
      </c>
      <c r="B924" s="988"/>
      <c r="C924" s="989" t="s">
        <v>870</v>
      </c>
      <c r="D924" s="1021"/>
      <c r="E924" s="1022"/>
      <c r="F924" s="1023"/>
      <c r="G924" s="1024"/>
      <c r="H924" s="1025"/>
      <c r="I924" s="1025"/>
      <c r="J924" s="1026"/>
      <c r="K924" s="1026"/>
      <c r="L924" s="1021"/>
      <c r="M924" s="1026"/>
      <c r="N924" s="1263" t="s">
        <v>413</v>
      </c>
      <c r="O924" s="816" t="s">
        <v>413</v>
      </c>
      <c r="P924" s="809"/>
      <c r="Q924" s="609">
        <v>0.05</v>
      </c>
      <c r="R924" s="610">
        <v>759.7199999999999</v>
      </c>
      <c r="S924" s="610">
        <v>120</v>
      </c>
      <c r="T924" s="1276" t="s">
        <v>413</v>
      </c>
      <c r="U924" s="608">
        <v>8.953199999999999</v>
      </c>
      <c r="V924" s="1025"/>
      <c r="W924" s="1025"/>
      <c r="X924" s="608">
        <v>1.4000000000000001</v>
      </c>
      <c r="Y924" s="833" t="s">
        <v>413</v>
      </c>
      <c r="Z924" s="820"/>
      <c r="AA924" s="821"/>
      <c r="AB924" s="822"/>
      <c r="AC924" s="938" t="s">
        <v>413</v>
      </c>
      <c r="AD924" s="822" t="s">
        <v>413</v>
      </c>
      <c r="AE924" s="822"/>
      <c r="AF924" s="801">
        <v>15000</v>
      </c>
    </row>
    <row r="925" spans="1:32" ht="14.25">
      <c r="A925" s="496"/>
      <c r="B925" s="761"/>
      <c r="C925" s="496"/>
      <c r="D925" s="503"/>
      <c r="E925" s="504"/>
      <c r="F925" s="505"/>
      <c r="G925" s="1053"/>
      <c r="H925" s="506"/>
      <c r="I925" s="506"/>
      <c r="J925" s="764"/>
      <c r="K925" s="495"/>
      <c r="L925" s="496"/>
      <c r="M925" s="764"/>
      <c r="N925" s="500" t="s">
        <v>413</v>
      </c>
      <c r="O925" s="788" t="s">
        <v>413</v>
      </c>
      <c r="P925" s="810"/>
      <c r="Q925" s="507">
        <v>0.1</v>
      </c>
      <c r="R925" s="201">
        <v>1653</v>
      </c>
      <c r="S925" s="201">
        <v>161</v>
      </c>
      <c r="T925" s="1277" t="s">
        <v>413</v>
      </c>
      <c r="U925" s="506">
        <v>24.69333333333333</v>
      </c>
      <c r="V925" s="506"/>
      <c r="W925" s="506"/>
      <c r="X925" s="506">
        <v>2.8000000000000003</v>
      </c>
      <c r="Y925" s="823" t="s">
        <v>413</v>
      </c>
      <c r="Z925" s="831"/>
      <c r="AA925" s="850"/>
      <c r="AB925" s="802"/>
      <c r="AC925" s="939" t="s">
        <v>413</v>
      </c>
      <c r="AD925" s="826" t="s">
        <v>413</v>
      </c>
      <c r="AE925" s="826"/>
      <c r="AF925" s="802"/>
    </row>
    <row r="926" spans="1:32" ht="14.25">
      <c r="A926" s="990">
        <v>15001</v>
      </c>
      <c r="B926" s="991"/>
      <c r="C926" s="991" t="s">
        <v>1056</v>
      </c>
      <c r="D926" s="1040">
        <v>25</v>
      </c>
      <c r="E926" s="1028">
        <v>13000</v>
      </c>
      <c r="F926" s="1041">
        <v>58</v>
      </c>
      <c r="G926" s="1067">
        <v>230</v>
      </c>
      <c r="H926" s="620">
        <v>200</v>
      </c>
      <c r="I926" s="620">
        <v>280</v>
      </c>
      <c r="J926" s="1043">
        <v>10</v>
      </c>
      <c r="K926" s="1032" t="s">
        <v>347</v>
      </c>
      <c r="L926" s="1251">
        <v>10</v>
      </c>
      <c r="M926" s="1043">
        <v>300</v>
      </c>
      <c r="N926" s="1264">
        <v>0.25</v>
      </c>
      <c r="O926" s="815">
        <v>1.6</v>
      </c>
      <c r="P926" s="812">
        <v>23</v>
      </c>
      <c r="Q926" s="609">
        <v>0.1</v>
      </c>
      <c r="R926" s="610">
        <v>2240.2</v>
      </c>
      <c r="S926" s="610">
        <v>77</v>
      </c>
      <c r="T926" s="1278">
        <v>1366.5</v>
      </c>
      <c r="U926" s="608">
        <v>11.815999999999999</v>
      </c>
      <c r="V926" s="620">
        <v>69.33333333333334</v>
      </c>
      <c r="W926" s="613"/>
      <c r="X926" s="608">
        <v>2.8000000000000003</v>
      </c>
      <c r="Y926" s="846">
        <v>69.33333333333334</v>
      </c>
      <c r="Z926" s="828">
        <v>56.64541666666668</v>
      </c>
      <c r="AA926" s="838">
        <v>226.5816666666667</v>
      </c>
      <c r="AB926" s="830"/>
      <c r="AC926" s="940">
        <v>26</v>
      </c>
      <c r="AD926" s="830" t="s">
        <v>484</v>
      </c>
      <c r="AE926" s="830">
        <v>0</v>
      </c>
      <c r="AF926" s="803">
        <v>15001</v>
      </c>
    </row>
    <row r="927" spans="1:32" ht="14.25">
      <c r="A927" s="154">
        <v>15002</v>
      </c>
      <c r="B927" s="992"/>
      <c r="C927" s="992" t="s">
        <v>1057</v>
      </c>
      <c r="D927" s="510">
        <v>25</v>
      </c>
      <c r="E927" s="504">
        <v>4200</v>
      </c>
      <c r="F927" s="509">
        <v>18</v>
      </c>
      <c r="G927" s="1068">
        <v>72</v>
      </c>
      <c r="H927" s="511">
        <v>63</v>
      </c>
      <c r="I927" s="511">
        <v>88</v>
      </c>
      <c r="J927" s="766">
        <v>10</v>
      </c>
      <c r="K927" s="145" t="s">
        <v>347</v>
      </c>
      <c r="L927" s="492">
        <v>10</v>
      </c>
      <c r="M927" s="766">
        <v>300</v>
      </c>
      <c r="N927" s="500">
        <v>0.25</v>
      </c>
      <c r="O927" s="788">
        <v>1.65</v>
      </c>
      <c r="P927" s="492">
        <v>5</v>
      </c>
      <c r="Q927" s="507">
        <v>0.1</v>
      </c>
      <c r="R927" s="201">
        <v>1180.2</v>
      </c>
      <c r="S927" s="201">
        <v>135</v>
      </c>
      <c r="T927" s="1277">
        <v>426.9</v>
      </c>
      <c r="U927" s="506">
        <v>13.462</v>
      </c>
      <c r="V927" s="511">
        <v>23.099999999999998</v>
      </c>
      <c r="W927" s="506"/>
      <c r="X927" s="506">
        <v>2.8000000000000003</v>
      </c>
      <c r="Y927" s="848">
        <v>23.099999999999998</v>
      </c>
      <c r="Z927" s="831">
        <v>18.09225</v>
      </c>
      <c r="AA927" s="861">
        <v>72.369</v>
      </c>
      <c r="AB927" s="826"/>
      <c r="AC927" s="939">
        <v>8.4</v>
      </c>
      <c r="AD927" s="826" t="s">
        <v>484</v>
      </c>
      <c r="AE927" s="826">
        <v>0</v>
      </c>
      <c r="AF927" s="804">
        <v>15002</v>
      </c>
    </row>
    <row r="928" spans="1:32" ht="14.25">
      <c r="A928" s="496"/>
      <c r="B928" s="761"/>
      <c r="C928" s="496"/>
      <c r="D928" s="510"/>
      <c r="E928" s="504"/>
      <c r="F928" s="509"/>
      <c r="G928" s="1065"/>
      <c r="H928" s="511"/>
      <c r="I928" s="511"/>
      <c r="J928" s="766"/>
      <c r="K928" s="495"/>
      <c r="L928" s="496"/>
      <c r="M928" s="766"/>
      <c r="N928" s="500" t="s">
        <v>413</v>
      </c>
      <c r="O928" s="788" t="s">
        <v>413</v>
      </c>
      <c r="P928" s="810"/>
      <c r="Q928" s="609">
        <v>0.1</v>
      </c>
      <c r="R928" s="610">
        <v>4967.4</v>
      </c>
      <c r="S928" s="610">
        <v>165</v>
      </c>
      <c r="T928" s="1277" t="s">
        <v>413</v>
      </c>
      <c r="U928" s="608">
        <v>46.45333333333333</v>
      </c>
      <c r="V928" s="511"/>
      <c r="W928" s="506"/>
      <c r="X928" s="608">
        <v>2.8000000000000003</v>
      </c>
      <c r="Y928" s="848" t="s">
        <v>413</v>
      </c>
      <c r="Z928" s="831"/>
      <c r="AA928" s="861"/>
      <c r="AB928" s="802"/>
      <c r="AC928" s="939" t="s">
        <v>413</v>
      </c>
      <c r="AD928" s="826" t="s">
        <v>413</v>
      </c>
      <c r="AE928" s="826"/>
      <c r="AF928" s="802"/>
    </row>
    <row r="929" spans="1:32" ht="14.25">
      <c r="A929" s="987">
        <v>15010</v>
      </c>
      <c r="B929" s="988"/>
      <c r="C929" s="989" t="s">
        <v>1058</v>
      </c>
      <c r="D929" s="1021"/>
      <c r="E929" s="1022"/>
      <c r="F929" s="1023"/>
      <c r="G929" s="1024"/>
      <c r="H929" s="1025"/>
      <c r="I929" s="1025"/>
      <c r="J929" s="1026"/>
      <c r="K929" s="1026"/>
      <c r="L929" s="1021"/>
      <c r="M929" s="1026"/>
      <c r="N929" s="1263" t="s">
        <v>413</v>
      </c>
      <c r="O929" s="816" t="s">
        <v>413</v>
      </c>
      <c r="P929" s="809"/>
      <c r="Q929" s="507"/>
      <c r="R929" s="201" t="s">
        <v>413</v>
      </c>
      <c r="S929" s="201"/>
      <c r="T929" s="1276" t="s">
        <v>413</v>
      </c>
      <c r="U929" s="506"/>
      <c r="V929" s="1025"/>
      <c r="W929" s="1025"/>
      <c r="X929" s="506"/>
      <c r="Y929" s="874" t="s">
        <v>413</v>
      </c>
      <c r="Z929" s="820"/>
      <c r="AA929" s="821"/>
      <c r="AB929" s="822"/>
      <c r="AC929" s="938" t="s">
        <v>413</v>
      </c>
      <c r="AD929" s="822" t="s">
        <v>413</v>
      </c>
      <c r="AE929" s="822"/>
      <c r="AF929" s="801">
        <v>15010</v>
      </c>
    </row>
    <row r="930" spans="1:32" ht="14.25">
      <c r="A930" s="496"/>
      <c r="B930" s="761"/>
      <c r="C930" s="496"/>
      <c r="D930" s="510"/>
      <c r="E930" s="504"/>
      <c r="F930" s="509"/>
      <c r="G930" s="1065"/>
      <c r="H930" s="511"/>
      <c r="I930" s="511"/>
      <c r="J930" s="766"/>
      <c r="K930" s="495"/>
      <c r="L930" s="496"/>
      <c r="M930" s="766"/>
      <c r="N930" s="500" t="s">
        <v>413</v>
      </c>
      <c r="O930" s="788" t="s">
        <v>413</v>
      </c>
      <c r="P930" s="810"/>
      <c r="Q930" s="603"/>
      <c r="R930" s="605" t="s">
        <v>413</v>
      </c>
      <c r="S930" s="606"/>
      <c r="T930" s="1277" t="s">
        <v>413</v>
      </c>
      <c r="U930" s="604"/>
      <c r="V930" s="511"/>
      <c r="W930" s="506"/>
      <c r="X930" s="604"/>
      <c r="Y930" s="848" t="s">
        <v>413</v>
      </c>
      <c r="Z930" s="831"/>
      <c r="AA930" s="861"/>
      <c r="AB930" s="802"/>
      <c r="AC930" s="939" t="s">
        <v>413</v>
      </c>
      <c r="AD930" s="826" t="s">
        <v>413</v>
      </c>
      <c r="AE930" s="826"/>
      <c r="AF930" s="802"/>
    </row>
    <row r="931" spans="1:32" ht="14.25">
      <c r="A931" s="990">
        <v>15011</v>
      </c>
      <c r="B931" s="991"/>
      <c r="C931" s="991" t="s">
        <v>1396</v>
      </c>
      <c r="D931" s="1040">
        <v>33</v>
      </c>
      <c r="E931" s="1028">
        <v>20000</v>
      </c>
      <c r="F931" s="1041">
        <v>120</v>
      </c>
      <c r="G931" s="1067">
        <v>370</v>
      </c>
      <c r="H931" s="620">
        <v>300</v>
      </c>
      <c r="I931" s="620">
        <v>470</v>
      </c>
      <c r="J931" s="1043">
        <v>6</v>
      </c>
      <c r="K931" s="1032" t="s">
        <v>347</v>
      </c>
      <c r="L931" s="1251">
        <v>12</v>
      </c>
      <c r="M931" s="1043">
        <v>300</v>
      </c>
      <c r="N931" s="1264">
        <v>0.25</v>
      </c>
      <c r="O931" s="815">
        <v>0.6</v>
      </c>
      <c r="P931" s="812">
        <v>20</v>
      </c>
      <c r="Q931" s="507"/>
      <c r="R931" s="201" t="s">
        <v>413</v>
      </c>
      <c r="S931" s="201"/>
      <c r="T931" s="1278">
        <v>1760</v>
      </c>
      <c r="U931" s="506"/>
      <c r="V931" s="620">
        <v>40</v>
      </c>
      <c r="W931" s="613"/>
      <c r="X931" s="506"/>
      <c r="Y931" s="846">
        <v>40</v>
      </c>
      <c r="Z931" s="824">
        <v>121</v>
      </c>
      <c r="AA931" s="838">
        <v>366.6666666666667</v>
      </c>
      <c r="AB931" s="830"/>
      <c r="AC931" s="940">
        <v>40</v>
      </c>
      <c r="AD931" s="830" t="s">
        <v>484</v>
      </c>
      <c r="AE931" s="830">
        <v>0</v>
      </c>
      <c r="AF931" s="803">
        <v>15011</v>
      </c>
    </row>
    <row r="932" spans="1:32" ht="14.25">
      <c r="A932" s="154">
        <v>15018</v>
      </c>
      <c r="B932" s="992"/>
      <c r="C932" s="992" t="s">
        <v>1475</v>
      </c>
      <c r="D932" s="510">
        <v>60</v>
      </c>
      <c r="E932" s="504">
        <v>26000</v>
      </c>
      <c r="F932" s="509">
        <v>294</v>
      </c>
      <c r="G932" s="1068">
        <v>490</v>
      </c>
      <c r="H932" s="511">
        <v>410</v>
      </c>
      <c r="I932" s="511">
        <v>630</v>
      </c>
      <c r="J932" s="766">
        <v>6</v>
      </c>
      <c r="K932" s="145" t="s">
        <v>347</v>
      </c>
      <c r="L932" s="492">
        <v>12</v>
      </c>
      <c r="M932" s="782">
        <v>300</v>
      </c>
      <c r="N932" s="500">
        <v>0.25</v>
      </c>
      <c r="O932" s="788">
        <v>0.8</v>
      </c>
      <c r="P932" s="492">
        <v>25</v>
      </c>
      <c r="Q932" s="609">
        <v>0.125</v>
      </c>
      <c r="R932" s="610">
        <v>10348</v>
      </c>
      <c r="S932" s="610">
        <v>406</v>
      </c>
      <c r="T932" s="1277">
        <v>2282</v>
      </c>
      <c r="U932" s="608">
        <v>109.62</v>
      </c>
      <c r="V932" s="511">
        <v>69.33333333333334</v>
      </c>
      <c r="W932" s="506"/>
      <c r="X932" s="608">
        <v>3.5</v>
      </c>
      <c r="Y932" s="848">
        <v>69.33333333333334</v>
      </c>
      <c r="Z932" s="831">
        <v>296.78</v>
      </c>
      <c r="AA932" s="861">
        <v>494.6333333333333</v>
      </c>
      <c r="AB932" s="826"/>
      <c r="AC932" s="939">
        <v>52</v>
      </c>
      <c r="AD932" s="826" t="s">
        <v>484</v>
      </c>
      <c r="AE932" s="826">
        <v>0</v>
      </c>
      <c r="AF932" s="804">
        <v>15018</v>
      </c>
    </row>
    <row r="933" spans="1:32" ht="14.25">
      <c r="A933" s="994">
        <v>15012</v>
      </c>
      <c r="B933" s="1000"/>
      <c r="C933" s="1000" t="s">
        <v>1059</v>
      </c>
      <c r="D933" s="1069">
        <v>33</v>
      </c>
      <c r="E933" s="1070">
        <v>11000</v>
      </c>
      <c r="F933" s="1156">
        <v>59</v>
      </c>
      <c r="G933" s="1157">
        <v>180</v>
      </c>
      <c r="H933" s="1138">
        <v>150</v>
      </c>
      <c r="I933" s="1138">
        <v>230</v>
      </c>
      <c r="J933" s="1158">
        <v>6</v>
      </c>
      <c r="K933" s="1075" t="s">
        <v>347</v>
      </c>
      <c r="L933" s="1254">
        <v>15</v>
      </c>
      <c r="M933" s="1259">
        <v>300</v>
      </c>
      <c r="N933" s="1266">
        <v>0.25</v>
      </c>
      <c r="O933" s="815">
        <v>0.65</v>
      </c>
      <c r="P933" s="812">
        <v>12</v>
      </c>
      <c r="Q933" s="507">
        <v>0.125</v>
      </c>
      <c r="R933" s="201">
        <v>26566.5</v>
      </c>
      <c r="S933" s="201">
        <v>728</v>
      </c>
      <c r="T933" s="1281">
        <v>836.5</v>
      </c>
      <c r="U933" s="506">
        <v>283.285</v>
      </c>
      <c r="V933" s="1138">
        <v>23.833333333333332</v>
      </c>
      <c r="W933" s="1073"/>
      <c r="X933" s="506">
        <v>3.5</v>
      </c>
      <c r="Y933" s="846">
        <v>23.833333333333332</v>
      </c>
      <c r="Z933" s="828">
        <v>59.259750000000004</v>
      </c>
      <c r="AA933" s="838">
        <v>179.57500000000002</v>
      </c>
      <c r="AB933" s="830"/>
      <c r="AC933" s="940">
        <v>22</v>
      </c>
      <c r="AD933" s="830" t="s">
        <v>484</v>
      </c>
      <c r="AE933" s="830">
        <v>0</v>
      </c>
      <c r="AF933" s="803">
        <v>15012</v>
      </c>
    </row>
    <row r="934" spans="1:32" ht="14.25">
      <c r="A934" s="154">
        <v>15019</v>
      </c>
      <c r="B934" s="992"/>
      <c r="C934" s="992" t="s">
        <v>1543</v>
      </c>
      <c r="D934" s="510">
        <v>33</v>
      </c>
      <c r="E934" s="504">
        <v>13000</v>
      </c>
      <c r="F934" s="509">
        <v>92</v>
      </c>
      <c r="G934" s="1068">
        <v>280</v>
      </c>
      <c r="H934" s="511">
        <v>230</v>
      </c>
      <c r="I934" s="511">
        <v>360</v>
      </c>
      <c r="J934" s="766">
        <v>5</v>
      </c>
      <c r="K934" s="145" t="s">
        <v>347</v>
      </c>
      <c r="L934" s="492">
        <v>12</v>
      </c>
      <c r="M934" s="782">
        <v>300</v>
      </c>
      <c r="N934" s="500">
        <v>0.25</v>
      </c>
      <c r="O934" s="788">
        <v>0.55</v>
      </c>
      <c r="P934" s="492">
        <v>12</v>
      </c>
      <c r="Q934" s="507"/>
      <c r="R934" s="201" t="s">
        <v>413</v>
      </c>
      <c r="S934" s="201"/>
      <c r="T934" s="1277">
        <v>1138</v>
      </c>
      <c r="U934" s="506"/>
      <c r="V934" s="511">
        <v>23.833333333333336</v>
      </c>
      <c r="W934" s="506"/>
      <c r="X934" s="506"/>
      <c r="Y934" s="848">
        <v>23.833333333333336</v>
      </c>
      <c r="Z934" s="831">
        <v>91.2703</v>
      </c>
      <c r="AA934" s="861">
        <v>276.5766666666667</v>
      </c>
      <c r="AB934" s="826"/>
      <c r="AC934" s="939">
        <v>26</v>
      </c>
      <c r="AD934" s="826" t="s">
        <v>484</v>
      </c>
      <c r="AE934" s="826">
        <v>0</v>
      </c>
      <c r="AF934" s="804">
        <v>15019</v>
      </c>
    </row>
    <row r="935" spans="1:32" ht="14.25">
      <c r="A935" s="990">
        <v>15013</v>
      </c>
      <c r="B935" s="991"/>
      <c r="C935" s="991" t="s">
        <v>1060</v>
      </c>
      <c r="D935" s="1040">
        <v>10</v>
      </c>
      <c r="E935" s="1028">
        <v>42000</v>
      </c>
      <c r="F935" s="1041">
        <v>130</v>
      </c>
      <c r="G935" s="1067">
        <v>1330</v>
      </c>
      <c r="H935" s="620">
        <v>1110</v>
      </c>
      <c r="I935" s="620">
        <v>1700</v>
      </c>
      <c r="J935" s="1043">
        <v>3</v>
      </c>
      <c r="K935" s="1032" t="s">
        <v>347</v>
      </c>
      <c r="L935" s="1251">
        <v>15</v>
      </c>
      <c r="M935" s="1043">
        <v>100</v>
      </c>
      <c r="N935" s="1264">
        <v>0.25</v>
      </c>
      <c r="O935" s="815">
        <v>0.5</v>
      </c>
      <c r="P935" s="812">
        <v>11</v>
      </c>
      <c r="Q935" s="603"/>
      <c r="R935" s="605" t="s">
        <v>413</v>
      </c>
      <c r="S935" s="606"/>
      <c r="T935" s="1278">
        <v>2985</v>
      </c>
      <c r="U935" s="604"/>
      <c r="V935" s="620">
        <v>210</v>
      </c>
      <c r="W935" s="613"/>
      <c r="X935" s="604"/>
      <c r="Y935" s="846">
        <v>210</v>
      </c>
      <c r="Z935" s="824">
        <v>132.55</v>
      </c>
      <c r="AA935" s="838">
        <v>1325.5</v>
      </c>
      <c r="AB935" s="830"/>
      <c r="AC935" s="940">
        <v>84</v>
      </c>
      <c r="AD935" s="830" t="s">
        <v>484</v>
      </c>
      <c r="AE935" s="830">
        <v>0</v>
      </c>
      <c r="AF935" s="803">
        <v>15013</v>
      </c>
    </row>
    <row r="936" spans="1:32" ht="14.25">
      <c r="A936" s="154">
        <v>15014</v>
      </c>
      <c r="B936" s="992"/>
      <c r="C936" s="992" t="s">
        <v>1397</v>
      </c>
      <c r="D936" s="510">
        <v>8</v>
      </c>
      <c r="E936" s="504">
        <v>14000</v>
      </c>
      <c r="F936" s="509">
        <v>36</v>
      </c>
      <c r="G936" s="1068">
        <v>450</v>
      </c>
      <c r="H936" s="511">
        <v>370</v>
      </c>
      <c r="I936" s="511">
        <v>580</v>
      </c>
      <c r="J936" s="766">
        <v>3</v>
      </c>
      <c r="K936" s="145" t="s">
        <v>347</v>
      </c>
      <c r="L936" s="492">
        <v>15</v>
      </c>
      <c r="M936" s="782">
        <v>300</v>
      </c>
      <c r="N936" s="500">
        <v>0.25</v>
      </c>
      <c r="O936" s="788">
        <v>0.9</v>
      </c>
      <c r="P936" s="492">
        <v>20</v>
      </c>
      <c r="Q936" s="507"/>
      <c r="R936" s="201" t="s">
        <v>413</v>
      </c>
      <c r="S936" s="201"/>
      <c r="T936" s="1277">
        <v>1093</v>
      </c>
      <c r="U936" s="506"/>
      <c r="V936" s="511">
        <v>42</v>
      </c>
      <c r="W936" s="506"/>
      <c r="X936" s="506"/>
      <c r="Y936" s="848">
        <v>42</v>
      </c>
      <c r="Z936" s="831">
        <v>35.757333333333335</v>
      </c>
      <c r="AA936" s="861">
        <v>446.9666666666667</v>
      </c>
      <c r="AB936" s="826"/>
      <c r="AC936" s="939">
        <v>28</v>
      </c>
      <c r="AD936" s="826" t="s">
        <v>484</v>
      </c>
      <c r="AE936" s="826">
        <v>0</v>
      </c>
      <c r="AF936" s="804">
        <v>15014</v>
      </c>
    </row>
    <row r="937" spans="1:32" ht="14.25">
      <c r="A937" s="990">
        <v>15015</v>
      </c>
      <c r="B937" s="991"/>
      <c r="C937" s="1000" t="s">
        <v>1398</v>
      </c>
      <c r="D937" s="1040">
        <v>16</v>
      </c>
      <c r="E937" s="1028">
        <v>9500</v>
      </c>
      <c r="F937" s="1041">
        <v>20</v>
      </c>
      <c r="G937" s="1067">
        <v>105</v>
      </c>
      <c r="H937" s="620">
        <v>90</v>
      </c>
      <c r="I937" s="620">
        <v>130</v>
      </c>
      <c r="J937" s="1043">
        <v>15</v>
      </c>
      <c r="K937" s="1032" t="s">
        <v>347</v>
      </c>
      <c r="L937" s="1251">
        <v>12</v>
      </c>
      <c r="M937" s="1043">
        <v>300</v>
      </c>
      <c r="N937" s="1264">
        <v>0.1</v>
      </c>
      <c r="O937" s="815">
        <v>0.9</v>
      </c>
      <c r="P937" s="812">
        <v>20</v>
      </c>
      <c r="Q937" s="609">
        <v>0.1</v>
      </c>
      <c r="R937" s="610">
        <v>609</v>
      </c>
      <c r="S937" s="610">
        <v>75</v>
      </c>
      <c r="T937" s="1278">
        <v>1003.5</v>
      </c>
      <c r="U937" s="608">
        <v>13.96</v>
      </c>
      <c r="V937" s="620">
        <v>28.5</v>
      </c>
      <c r="W937" s="613"/>
      <c r="X937" s="608">
        <v>2.8000000000000003</v>
      </c>
      <c r="Y937" s="846">
        <v>28.5</v>
      </c>
      <c r="Z937" s="824">
        <v>16.7904</v>
      </c>
      <c r="AA937" s="838">
        <v>104.94000000000001</v>
      </c>
      <c r="AB937" s="830"/>
      <c r="AC937" s="940">
        <v>19</v>
      </c>
      <c r="AD937" s="830" t="s">
        <v>484</v>
      </c>
      <c r="AE937" s="830">
        <v>0</v>
      </c>
      <c r="AF937" s="803">
        <v>15015</v>
      </c>
    </row>
    <row r="938" spans="1:32" ht="14.25">
      <c r="A938" s="154">
        <v>15016</v>
      </c>
      <c r="B938" s="992"/>
      <c r="C938" s="992" t="s">
        <v>1399</v>
      </c>
      <c r="D938" s="510">
        <v>20</v>
      </c>
      <c r="E938" s="504">
        <v>15500</v>
      </c>
      <c r="F938" s="509">
        <v>44</v>
      </c>
      <c r="G938" s="1068">
        <v>220</v>
      </c>
      <c r="H938" s="511">
        <v>190</v>
      </c>
      <c r="I938" s="511">
        <v>270</v>
      </c>
      <c r="J938" s="766">
        <v>10</v>
      </c>
      <c r="K938" s="145" t="s">
        <v>347</v>
      </c>
      <c r="L938" s="492">
        <v>12</v>
      </c>
      <c r="M938" s="782">
        <v>300</v>
      </c>
      <c r="N938" s="500">
        <v>0.25</v>
      </c>
      <c r="O938" s="788">
        <v>1.15</v>
      </c>
      <c r="P938" s="492">
        <v>25</v>
      </c>
      <c r="Q938" s="507">
        <v>0.1</v>
      </c>
      <c r="R938" s="201">
        <v>1783.5</v>
      </c>
      <c r="S938" s="201">
        <v>75</v>
      </c>
      <c r="T938" s="1277">
        <v>1421</v>
      </c>
      <c r="U938" s="506">
        <v>25.326666666666668</v>
      </c>
      <c r="V938" s="511">
        <v>59.41666666666666</v>
      </c>
      <c r="W938" s="506"/>
      <c r="X938" s="506">
        <v>2.8000000000000003</v>
      </c>
      <c r="Y938" s="848">
        <v>59.41666666666666</v>
      </c>
      <c r="Z938" s="831">
        <v>44.333666666666666</v>
      </c>
      <c r="AA938" s="861">
        <v>221.66833333333332</v>
      </c>
      <c r="AB938" s="826"/>
      <c r="AC938" s="939">
        <v>31</v>
      </c>
      <c r="AD938" s="826" t="s">
        <v>484</v>
      </c>
      <c r="AE938" s="826">
        <v>0</v>
      </c>
      <c r="AF938" s="804">
        <v>15016</v>
      </c>
    </row>
    <row r="939" spans="1:32" ht="28.5">
      <c r="A939" s="990">
        <v>15017</v>
      </c>
      <c r="B939" s="991"/>
      <c r="C939" s="991" t="s">
        <v>1061</v>
      </c>
      <c r="D939" s="1249">
        <v>1.5</v>
      </c>
      <c r="E939" s="1028">
        <v>24000</v>
      </c>
      <c r="F939" s="1041">
        <v>10.1</v>
      </c>
      <c r="G939" s="1067">
        <v>670</v>
      </c>
      <c r="H939" s="620">
        <v>580</v>
      </c>
      <c r="I939" s="620">
        <v>830</v>
      </c>
      <c r="J939" s="1043">
        <v>4</v>
      </c>
      <c r="K939" s="1032">
        <v>25</v>
      </c>
      <c r="L939" s="1251">
        <v>15</v>
      </c>
      <c r="M939" s="1043">
        <v>200</v>
      </c>
      <c r="N939" s="1264">
        <v>0.25</v>
      </c>
      <c r="O939" s="815">
        <v>1.1</v>
      </c>
      <c r="P939" s="812">
        <v>13</v>
      </c>
      <c r="Q939" s="609">
        <v>0.1</v>
      </c>
      <c r="R939" s="610">
        <v>2086</v>
      </c>
      <c r="S939" s="610">
        <v>330</v>
      </c>
      <c r="T939" s="1278">
        <v>1746</v>
      </c>
      <c r="U939" s="608">
        <v>32.96</v>
      </c>
      <c r="V939" s="620">
        <v>132</v>
      </c>
      <c r="W939" s="620">
        <v>42.291666666666664</v>
      </c>
      <c r="X939" s="608">
        <v>2.8000000000000003</v>
      </c>
      <c r="Y939" s="846">
        <v>174.29166666666666</v>
      </c>
      <c r="Z939" s="824">
        <v>10.078062500000001</v>
      </c>
      <c r="AA939" s="838">
        <v>671.8708333333334</v>
      </c>
      <c r="AB939" s="936">
        <v>3.5</v>
      </c>
      <c r="AC939" s="940">
        <v>48</v>
      </c>
      <c r="AD939" s="830" t="s">
        <v>484</v>
      </c>
      <c r="AE939" s="830">
        <v>2</v>
      </c>
      <c r="AF939" s="803">
        <v>15017</v>
      </c>
    </row>
    <row r="940" spans="1:32" ht="28.5">
      <c r="A940" s="154">
        <v>15020</v>
      </c>
      <c r="B940" s="992"/>
      <c r="C940" s="992" t="s">
        <v>1476</v>
      </c>
      <c r="D940" s="510">
        <v>20</v>
      </c>
      <c r="E940" s="504">
        <v>33000</v>
      </c>
      <c r="F940" s="509">
        <v>76</v>
      </c>
      <c r="G940" s="1068">
        <v>380</v>
      </c>
      <c r="H940" s="511">
        <v>330</v>
      </c>
      <c r="I940" s="511">
        <v>460</v>
      </c>
      <c r="J940" s="766">
        <v>15</v>
      </c>
      <c r="K940" s="145" t="s">
        <v>347</v>
      </c>
      <c r="L940" s="492">
        <v>12</v>
      </c>
      <c r="M940" s="782">
        <v>300</v>
      </c>
      <c r="N940" s="500">
        <v>0.1</v>
      </c>
      <c r="O940" s="788">
        <v>1.2</v>
      </c>
      <c r="P940" s="492">
        <v>25</v>
      </c>
      <c r="Q940" s="507">
        <v>0.1</v>
      </c>
      <c r="R940" s="201">
        <v>3650.5</v>
      </c>
      <c r="S940" s="201">
        <v>330</v>
      </c>
      <c r="T940" s="1277">
        <v>3219</v>
      </c>
      <c r="U940" s="506">
        <v>54.38</v>
      </c>
      <c r="V940" s="511">
        <v>132</v>
      </c>
      <c r="W940" s="506"/>
      <c r="X940" s="506">
        <v>2.8000000000000003</v>
      </c>
      <c r="Y940" s="848">
        <v>132</v>
      </c>
      <c r="Z940" s="831">
        <v>76.25200000000001</v>
      </c>
      <c r="AA940" s="861">
        <v>381.26000000000005</v>
      </c>
      <c r="AB940" s="826"/>
      <c r="AC940" s="939">
        <v>66</v>
      </c>
      <c r="AD940" s="826" t="s">
        <v>484</v>
      </c>
      <c r="AE940" s="826">
        <v>0</v>
      </c>
      <c r="AF940" s="804">
        <v>15020</v>
      </c>
    </row>
    <row r="941" spans="1:32" ht="14.25">
      <c r="A941" s="990">
        <v>15021</v>
      </c>
      <c r="B941" s="991"/>
      <c r="C941" s="991" t="s">
        <v>1477</v>
      </c>
      <c r="D941" s="1040">
        <v>20</v>
      </c>
      <c r="E941" s="1028">
        <v>5000</v>
      </c>
      <c r="F941" s="1041">
        <v>20</v>
      </c>
      <c r="G941" s="1067">
        <v>120</v>
      </c>
      <c r="H941" s="620">
        <v>100</v>
      </c>
      <c r="I941" s="620">
        <v>150</v>
      </c>
      <c r="J941" s="1043">
        <v>6</v>
      </c>
      <c r="K941" s="1032" t="s">
        <v>347</v>
      </c>
      <c r="L941" s="1251">
        <v>10</v>
      </c>
      <c r="M941" s="1043">
        <v>160</v>
      </c>
      <c r="N941" s="1264">
        <v>0.25</v>
      </c>
      <c r="O941" s="815">
        <v>0.6</v>
      </c>
      <c r="P941" s="812">
        <v>11</v>
      </c>
      <c r="Q941" s="609">
        <v>0.1</v>
      </c>
      <c r="R941" s="610">
        <v>5140.5</v>
      </c>
      <c r="S941" s="610">
        <v>330</v>
      </c>
      <c r="T941" s="1278">
        <v>538.5</v>
      </c>
      <c r="U941" s="608">
        <v>74.78</v>
      </c>
      <c r="V941" s="620">
        <v>18.75</v>
      </c>
      <c r="W941" s="613"/>
      <c r="X941" s="608">
        <v>2.8000000000000003</v>
      </c>
      <c r="Y941" s="846">
        <v>18.75</v>
      </c>
      <c r="Z941" s="824">
        <v>23.87</v>
      </c>
      <c r="AA941" s="838">
        <v>119.35000000000001</v>
      </c>
      <c r="AB941" s="830"/>
      <c r="AC941" s="940">
        <v>10</v>
      </c>
      <c r="AD941" s="830" t="s">
        <v>484</v>
      </c>
      <c r="AE941" s="830">
        <v>0</v>
      </c>
      <c r="AF941" s="803">
        <v>15021</v>
      </c>
    </row>
    <row r="942" spans="1:32" ht="14.25">
      <c r="A942" s="154">
        <v>15022</v>
      </c>
      <c r="B942" s="992"/>
      <c r="C942" s="992" t="s">
        <v>1478</v>
      </c>
      <c r="D942" s="510">
        <v>20</v>
      </c>
      <c r="E942" s="504">
        <v>11000</v>
      </c>
      <c r="F942" s="509">
        <v>50</v>
      </c>
      <c r="G942" s="1068">
        <v>250</v>
      </c>
      <c r="H942" s="511">
        <v>200</v>
      </c>
      <c r="I942" s="511">
        <v>310</v>
      </c>
      <c r="J942" s="766">
        <v>6</v>
      </c>
      <c r="K942" s="145" t="s">
        <v>347</v>
      </c>
      <c r="L942" s="492">
        <v>12</v>
      </c>
      <c r="M942" s="782">
        <v>200</v>
      </c>
      <c r="N942" s="500">
        <v>0.25</v>
      </c>
      <c r="O942" s="788">
        <v>0.7</v>
      </c>
      <c r="P942" s="492">
        <v>34</v>
      </c>
      <c r="Q942" s="507">
        <v>0.1</v>
      </c>
      <c r="R942" s="201">
        <v>1492.5</v>
      </c>
      <c r="S942" s="201">
        <v>135</v>
      </c>
      <c r="T942" s="1277">
        <v>1106</v>
      </c>
      <c r="U942" s="506">
        <v>33.15</v>
      </c>
      <c r="V942" s="511">
        <v>38.5</v>
      </c>
      <c r="W942" s="506"/>
      <c r="X942" s="506">
        <v>2.8000000000000003</v>
      </c>
      <c r="Y942" s="848">
        <v>38.5</v>
      </c>
      <c r="Z942" s="831">
        <v>49.02333333333334</v>
      </c>
      <c r="AA942" s="861">
        <v>245.1166666666667</v>
      </c>
      <c r="AB942" s="826"/>
      <c r="AC942" s="939">
        <v>22</v>
      </c>
      <c r="AD942" s="826" t="s">
        <v>484</v>
      </c>
      <c r="AE942" s="826">
        <v>0</v>
      </c>
      <c r="AF942" s="804">
        <v>15022</v>
      </c>
    </row>
    <row r="943" spans="1:32" ht="14.25">
      <c r="A943" s="496"/>
      <c r="B943" s="761"/>
      <c r="C943" s="496"/>
      <c r="D943" s="510"/>
      <c r="E943" s="504"/>
      <c r="F943" s="509"/>
      <c r="G943" s="1217"/>
      <c r="H943" s="511"/>
      <c r="I943" s="511"/>
      <c r="J943" s="766"/>
      <c r="K943" s="495"/>
      <c r="L943" s="496"/>
      <c r="M943" s="766"/>
      <c r="N943" s="500" t="s">
        <v>413</v>
      </c>
      <c r="O943" s="788" t="s">
        <v>413</v>
      </c>
      <c r="P943" s="810"/>
      <c r="Q943" s="609">
        <v>0.1</v>
      </c>
      <c r="R943" s="610">
        <v>1192</v>
      </c>
      <c r="S943" s="610">
        <v>120</v>
      </c>
      <c r="T943" s="1277" t="s">
        <v>413</v>
      </c>
      <c r="U943" s="608">
        <v>13.44</v>
      </c>
      <c r="V943" s="511"/>
      <c r="W943" s="506"/>
      <c r="X943" s="608">
        <v>2.8000000000000003</v>
      </c>
      <c r="Y943" s="848" t="s">
        <v>413</v>
      </c>
      <c r="Z943" s="831"/>
      <c r="AA943" s="861"/>
      <c r="AB943" s="802"/>
      <c r="AC943" s="939" t="s">
        <v>413</v>
      </c>
      <c r="AD943" s="826" t="s">
        <v>413</v>
      </c>
      <c r="AE943" s="826"/>
      <c r="AF943" s="802"/>
    </row>
    <row r="944" spans="1:32" ht="14.25">
      <c r="A944" s="987">
        <v>15030</v>
      </c>
      <c r="B944" s="988"/>
      <c r="C944" s="989" t="s">
        <v>1062</v>
      </c>
      <c r="D944" s="1021"/>
      <c r="E944" s="1022"/>
      <c r="F944" s="1023"/>
      <c r="G944" s="1024"/>
      <c r="H944" s="1025"/>
      <c r="I944" s="1025"/>
      <c r="J944" s="1026"/>
      <c r="K944" s="1026"/>
      <c r="L944" s="1021"/>
      <c r="M944" s="1026"/>
      <c r="N944" s="1263" t="s">
        <v>413</v>
      </c>
      <c r="O944" s="816" t="s">
        <v>413</v>
      </c>
      <c r="P944" s="809"/>
      <c r="Q944" s="507">
        <v>0.05</v>
      </c>
      <c r="R944" s="201">
        <v>379.95</v>
      </c>
      <c r="S944" s="201">
        <v>120</v>
      </c>
      <c r="T944" s="1276" t="s">
        <v>413</v>
      </c>
      <c r="U944" s="506">
        <v>10.203</v>
      </c>
      <c r="V944" s="1025"/>
      <c r="W944" s="1025"/>
      <c r="X944" s="506">
        <v>1.4000000000000001</v>
      </c>
      <c r="Y944" s="874" t="s">
        <v>413</v>
      </c>
      <c r="Z944" s="820"/>
      <c r="AA944" s="821"/>
      <c r="AB944" s="822"/>
      <c r="AC944" s="938" t="s">
        <v>413</v>
      </c>
      <c r="AD944" s="822" t="s">
        <v>413</v>
      </c>
      <c r="AE944" s="822"/>
      <c r="AF944" s="801">
        <v>15030</v>
      </c>
    </row>
    <row r="945" spans="1:32" ht="14.25">
      <c r="A945" s="496"/>
      <c r="B945" s="761"/>
      <c r="C945" s="496"/>
      <c r="D945" s="508"/>
      <c r="E945" s="504"/>
      <c r="F945" s="509"/>
      <c r="G945" s="495"/>
      <c r="H945" s="506"/>
      <c r="I945" s="506"/>
      <c r="J945" s="764"/>
      <c r="K945" s="495"/>
      <c r="L945" s="496"/>
      <c r="M945" s="764"/>
      <c r="N945" s="500" t="s">
        <v>413</v>
      </c>
      <c r="O945" s="788" t="s">
        <v>413</v>
      </c>
      <c r="P945" s="810"/>
      <c r="Q945" s="609">
        <v>0.05</v>
      </c>
      <c r="R945" s="610">
        <v>557.2</v>
      </c>
      <c r="S945" s="610">
        <v>75</v>
      </c>
      <c r="T945" s="1277" t="s">
        <v>413</v>
      </c>
      <c r="U945" s="608">
        <v>9.191428571428572</v>
      </c>
      <c r="V945" s="506"/>
      <c r="W945" s="506"/>
      <c r="X945" s="608">
        <v>1.4000000000000001</v>
      </c>
      <c r="Y945" s="848" t="s">
        <v>413</v>
      </c>
      <c r="Z945" s="831"/>
      <c r="AA945" s="832"/>
      <c r="AB945" s="802"/>
      <c r="AC945" s="939" t="s">
        <v>413</v>
      </c>
      <c r="AD945" s="826" t="s">
        <v>413</v>
      </c>
      <c r="AE945" s="826"/>
      <c r="AF945" s="802"/>
    </row>
    <row r="946" spans="1:32" ht="28.5">
      <c r="A946" s="990">
        <v>15031</v>
      </c>
      <c r="B946" s="991"/>
      <c r="C946" s="991" t="s">
        <v>1063</v>
      </c>
      <c r="D946" s="1040">
        <v>40</v>
      </c>
      <c r="E946" s="1028">
        <v>12500</v>
      </c>
      <c r="F946" s="1041">
        <v>35</v>
      </c>
      <c r="G946" s="1067">
        <v>87</v>
      </c>
      <c r="H946" s="620">
        <v>78</v>
      </c>
      <c r="I946" s="620">
        <v>100</v>
      </c>
      <c r="J946" s="1043">
        <v>30</v>
      </c>
      <c r="K946" s="1032" t="s">
        <v>347</v>
      </c>
      <c r="L946" s="1251">
        <v>15</v>
      </c>
      <c r="M946" s="1043">
        <v>500</v>
      </c>
      <c r="N946" s="1264">
        <v>0</v>
      </c>
      <c r="O946" s="815">
        <v>1.65</v>
      </c>
      <c r="P946" s="812">
        <v>13</v>
      </c>
      <c r="Q946" s="507">
        <v>0.1</v>
      </c>
      <c r="R946" s="201">
        <v>2086</v>
      </c>
      <c r="S946" s="201">
        <v>330</v>
      </c>
      <c r="T946" s="1278">
        <v>1123.8333333333335</v>
      </c>
      <c r="U946" s="506">
        <v>35.31428571428572</v>
      </c>
      <c r="V946" s="620">
        <v>41.25</v>
      </c>
      <c r="W946" s="613"/>
      <c r="X946" s="506">
        <v>2.8000000000000003</v>
      </c>
      <c r="Y946" s="846">
        <v>41.25</v>
      </c>
      <c r="Z946" s="824">
        <v>34.63288888888889</v>
      </c>
      <c r="AA946" s="838">
        <v>86.58222222222223</v>
      </c>
      <c r="AB946" s="830"/>
      <c r="AC946" s="940">
        <v>25</v>
      </c>
      <c r="AD946" s="830" t="s">
        <v>484</v>
      </c>
      <c r="AE946" s="830">
        <v>0</v>
      </c>
      <c r="AF946" s="803">
        <v>15031</v>
      </c>
    </row>
    <row r="947" spans="1:32" ht="14.25">
      <c r="A947" s="154">
        <v>15032</v>
      </c>
      <c r="B947" s="992"/>
      <c r="C947" s="992" t="s">
        <v>1064</v>
      </c>
      <c r="D947" s="510">
        <v>40</v>
      </c>
      <c r="E947" s="504">
        <v>12000</v>
      </c>
      <c r="F947" s="509">
        <v>60</v>
      </c>
      <c r="G947" s="1068">
        <v>150</v>
      </c>
      <c r="H947" s="511">
        <v>130</v>
      </c>
      <c r="I947" s="511">
        <v>180</v>
      </c>
      <c r="J947" s="766">
        <v>10</v>
      </c>
      <c r="K947" s="145" t="s">
        <v>347</v>
      </c>
      <c r="L947" s="492">
        <v>15</v>
      </c>
      <c r="M947" s="766">
        <v>300</v>
      </c>
      <c r="N947" s="500">
        <v>0.25</v>
      </c>
      <c r="O947" s="788">
        <v>1.1</v>
      </c>
      <c r="P947" s="492">
        <v>10</v>
      </c>
      <c r="Q947" s="609">
        <v>0.1</v>
      </c>
      <c r="R947" s="610">
        <v>4470</v>
      </c>
      <c r="S947" s="610">
        <v>330</v>
      </c>
      <c r="T947" s="1277">
        <v>894</v>
      </c>
      <c r="U947" s="608">
        <v>70.28571428571429</v>
      </c>
      <c r="V947" s="511">
        <v>44</v>
      </c>
      <c r="W947" s="506"/>
      <c r="X947" s="608">
        <v>2.8000000000000003</v>
      </c>
      <c r="Y947" s="848">
        <v>44</v>
      </c>
      <c r="Z947" s="831">
        <v>58.696000000000005</v>
      </c>
      <c r="AA947" s="861">
        <v>146.74</v>
      </c>
      <c r="AB947" s="826"/>
      <c r="AC947" s="939">
        <v>24</v>
      </c>
      <c r="AD947" s="826" t="s">
        <v>484</v>
      </c>
      <c r="AE947" s="826">
        <v>0</v>
      </c>
      <c r="AF947" s="804">
        <v>15032</v>
      </c>
    </row>
    <row r="948" spans="1:32" ht="30">
      <c r="A948" s="990">
        <v>15033</v>
      </c>
      <c r="B948" s="991"/>
      <c r="C948" s="991" t="s">
        <v>1065</v>
      </c>
      <c r="D948" s="1040">
        <v>10</v>
      </c>
      <c r="E948" s="1028">
        <v>9500</v>
      </c>
      <c r="F948" s="1041">
        <v>13</v>
      </c>
      <c r="G948" s="1067">
        <v>130</v>
      </c>
      <c r="H948" s="620">
        <v>110</v>
      </c>
      <c r="I948" s="620">
        <v>160</v>
      </c>
      <c r="J948" s="1043">
        <v>10</v>
      </c>
      <c r="K948" s="1032">
        <v>25</v>
      </c>
      <c r="L948" s="1251">
        <v>15</v>
      </c>
      <c r="M948" s="1043">
        <v>300</v>
      </c>
      <c r="N948" s="1264">
        <v>0.25</v>
      </c>
      <c r="O948" s="815">
        <v>1.15</v>
      </c>
      <c r="P948" s="812">
        <v>12</v>
      </c>
      <c r="Q948" s="507">
        <v>0.1</v>
      </c>
      <c r="R948" s="201">
        <v>663.05</v>
      </c>
      <c r="S948" s="201">
        <v>75</v>
      </c>
      <c r="T948" s="1278">
        <v>732.25</v>
      </c>
      <c r="U948" s="506">
        <v>10.797857142857142</v>
      </c>
      <c r="V948" s="620">
        <v>36.416666666666664</v>
      </c>
      <c r="W948" s="620">
        <v>7.249999999999999</v>
      </c>
      <c r="X948" s="506">
        <v>2.8000000000000003</v>
      </c>
      <c r="Y948" s="846">
        <v>43.666666666666664</v>
      </c>
      <c r="Z948" s="824">
        <v>12.858083333333331</v>
      </c>
      <c r="AA948" s="838">
        <v>128.58083333333332</v>
      </c>
      <c r="AB948" s="847">
        <v>4</v>
      </c>
      <c r="AC948" s="940">
        <v>19</v>
      </c>
      <c r="AD948" s="830" t="s">
        <v>484</v>
      </c>
      <c r="AE948" s="830">
        <v>2</v>
      </c>
      <c r="AF948" s="803">
        <v>15033</v>
      </c>
    </row>
    <row r="949" spans="1:32" ht="15">
      <c r="A949" s="154">
        <v>15034</v>
      </c>
      <c r="B949" s="992"/>
      <c r="C949" s="992" t="s">
        <v>1479</v>
      </c>
      <c r="D949" s="510">
        <v>15</v>
      </c>
      <c r="E949" s="504">
        <v>6500</v>
      </c>
      <c r="F949" s="509">
        <v>12</v>
      </c>
      <c r="G949" s="1068">
        <v>80</v>
      </c>
      <c r="H949" s="511">
        <v>70</v>
      </c>
      <c r="I949" s="511">
        <v>100</v>
      </c>
      <c r="J949" s="766">
        <v>12</v>
      </c>
      <c r="K949" s="145" t="s">
        <v>347</v>
      </c>
      <c r="L949" s="492">
        <v>15</v>
      </c>
      <c r="M949" s="766">
        <v>300</v>
      </c>
      <c r="N949" s="500">
        <v>0.1</v>
      </c>
      <c r="O949" s="788">
        <v>1.25</v>
      </c>
      <c r="P949" s="492">
        <v>5</v>
      </c>
      <c r="Q949" s="609">
        <v>0.1</v>
      </c>
      <c r="R949" s="610">
        <v>491.7</v>
      </c>
      <c r="S949" s="610">
        <v>75</v>
      </c>
      <c r="T949" s="1277">
        <v>537</v>
      </c>
      <c r="U949" s="608">
        <v>8.284285714285716</v>
      </c>
      <c r="V949" s="511">
        <v>27.083333333333336</v>
      </c>
      <c r="W949" s="506"/>
      <c r="X949" s="608">
        <v>2.8000000000000003</v>
      </c>
      <c r="Y949" s="848">
        <v>27.083333333333336</v>
      </c>
      <c r="Z949" s="831">
        <v>11.852500000000003</v>
      </c>
      <c r="AA949" s="861">
        <v>79.01666666666668</v>
      </c>
      <c r="AB949" s="826"/>
      <c r="AC949" s="939">
        <v>13</v>
      </c>
      <c r="AD949" s="826" t="s">
        <v>484</v>
      </c>
      <c r="AE949" s="826">
        <v>0</v>
      </c>
      <c r="AF949" s="804">
        <v>15034</v>
      </c>
    </row>
    <row r="950" spans="1:32" ht="15">
      <c r="A950" s="496"/>
      <c r="B950" s="761"/>
      <c r="C950" s="496"/>
      <c r="D950" s="510"/>
      <c r="E950" s="504"/>
      <c r="F950" s="509"/>
      <c r="G950" s="1227"/>
      <c r="H950" s="543"/>
      <c r="I950" s="543"/>
      <c r="J950" s="779"/>
      <c r="K950" s="495"/>
      <c r="L950" s="496"/>
      <c r="M950" s="779"/>
      <c r="N950" s="500" t="s">
        <v>413</v>
      </c>
      <c r="O950" s="788" t="s">
        <v>413</v>
      </c>
      <c r="P950" s="810"/>
      <c r="Q950" s="507">
        <v>0.1</v>
      </c>
      <c r="R950" s="201">
        <v>1080.25</v>
      </c>
      <c r="S950" s="201">
        <v>390</v>
      </c>
      <c r="T950" s="1277" t="s">
        <v>413</v>
      </c>
      <c r="U950" s="506">
        <v>21.417857142857144</v>
      </c>
      <c r="V950" s="543"/>
      <c r="W950" s="543"/>
      <c r="X950" s="506">
        <v>2.8000000000000003</v>
      </c>
      <c r="Y950" s="848" t="s">
        <v>413</v>
      </c>
      <c r="Z950" s="831"/>
      <c r="AA950" s="921"/>
      <c r="AB950" s="802"/>
      <c r="AC950" s="939" t="s">
        <v>413</v>
      </c>
      <c r="AD950" s="826" t="s">
        <v>413</v>
      </c>
      <c r="AE950" s="826"/>
      <c r="AF950" s="802"/>
    </row>
    <row r="951" spans="1:32" ht="15">
      <c r="A951" s="987">
        <v>15040</v>
      </c>
      <c r="B951" s="988"/>
      <c r="C951" s="989" t="s">
        <v>1066</v>
      </c>
      <c r="D951" s="1021"/>
      <c r="E951" s="1022"/>
      <c r="F951" s="1023"/>
      <c r="G951" s="1024"/>
      <c r="H951" s="1025"/>
      <c r="I951" s="1025"/>
      <c r="J951" s="1026"/>
      <c r="K951" s="1026"/>
      <c r="L951" s="1021"/>
      <c r="M951" s="1026"/>
      <c r="N951" s="1263" t="s">
        <v>413</v>
      </c>
      <c r="O951" s="816" t="s">
        <v>413</v>
      </c>
      <c r="P951" s="809"/>
      <c r="Q951" s="609">
        <v>0.1</v>
      </c>
      <c r="R951" s="610">
        <v>2235</v>
      </c>
      <c r="S951" s="610">
        <v>390</v>
      </c>
      <c r="T951" s="1276" t="s">
        <v>413</v>
      </c>
      <c r="U951" s="608">
        <v>38.357142857142854</v>
      </c>
      <c r="V951" s="1025"/>
      <c r="W951" s="1025"/>
      <c r="X951" s="608">
        <v>2.8000000000000003</v>
      </c>
      <c r="Y951" s="874" t="s">
        <v>413</v>
      </c>
      <c r="Z951" s="820"/>
      <c r="AA951" s="821"/>
      <c r="AB951" s="822"/>
      <c r="AC951" s="938" t="s">
        <v>413</v>
      </c>
      <c r="AD951" s="822" t="s">
        <v>413</v>
      </c>
      <c r="AE951" s="822"/>
      <c r="AF951" s="801">
        <v>15040</v>
      </c>
    </row>
    <row r="952" spans="1:32" ht="15">
      <c r="A952" s="496"/>
      <c r="B952" s="761"/>
      <c r="C952" s="496"/>
      <c r="D952" s="510"/>
      <c r="E952" s="504"/>
      <c r="F952" s="509"/>
      <c r="G952" s="1053"/>
      <c r="H952" s="506"/>
      <c r="I952" s="506"/>
      <c r="J952" s="764"/>
      <c r="K952" s="495"/>
      <c r="L952" s="496"/>
      <c r="M952" s="764"/>
      <c r="N952" s="500" t="s">
        <v>413</v>
      </c>
      <c r="O952" s="788" t="s">
        <v>413</v>
      </c>
      <c r="P952" s="810"/>
      <c r="Q952" s="507">
        <v>0.1</v>
      </c>
      <c r="R952" s="201">
        <v>323.76</v>
      </c>
      <c r="S952" s="201">
        <v>60</v>
      </c>
      <c r="T952" s="1277" t="s">
        <v>413</v>
      </c>
      <c r="U952" s="506">
        <v>1.9428</v>
      </c>
      <c r="V952" s="511"/>
      <c r="W952" s="506"/>
      <c r="X952" s="506">
        <v>2.8000000000000003</v>
      </c>
      <c r="Y952" s="848" t="s">
        <v>413</v>
      </c>
      <c r="Z952" s="831"/>
      <c r="AA952" s="866"/>
      <c r="AB952" s="802"/>
      <c r="AC952" s="939" t="s">
        <v>413</v>
      </c>
      <c r="AD952" s="826" t="s">
        <v>413</v>
      </c>
      <c r="AE952" s="826"/>
      <c r="AF952" s="802"/>
    </row>
    <row r="953" spans="1:32" ht="15">
      <c r="A953" s="990">
        <v>15041</v>
      </c>
      <c r="B953" s="991"/>
      <c r="C953" s="991" t="s">
        <v>1400</v>
      </c>
      <c r="D953" s="1040">
        <v>12</v>
      </c>
      <c r="E953" s="1028">
        <v>53000</v>
      </c>
      <c r="F953" s="1041">
        <v>88</v>
      </c>
      <c r="G953" s="1067">
        <v>730</v>
      </c>
      <c r="H953" s="620">
        <v>630</v>
      </c>
      <c r="I953" s="620">
        <v>910</v>
      </c>
      <c r="J953" s="1043">
        <v>10</v>
      </c>
      <c r="K953" s="1032" t="s">
        <v>347</v>
      </c>
      <c r="L953" s="1251">
        <v>12</v>
      </c>
      <c r="M953" s="1043">
        <v>300</v>
      </c>
      <c r="N953" s="1264">
        <v>0.25</v>
      </c>
      <c r="O953" s="815">
        <v>1.05</v>
      </c>
      <c r="P953" s="812">
        <v>73</v>
      </c>
      <c r="Q953" s="609">
        <v>0.1</v>
      </c>
      <c r="R953" s="610">
        <v>998.26</v>
      </c>
      <c r="S953" s="610">
        <v>60</v>
      </c>
      <c r="T953" s="1278">
        <v>4784</v>
      </c>
      <c r="U953" s="608">
        <v>5.3652999999999995</v>
      </c>
      <c r="V953" s="620">
        <v>185.5</v>
      </c>
      <c r="W953" s="613"/>
      <c r="X953" s="608">
        <v>2.8000000000000003</v>
      </c>
      <c r="Y953" s="846">
        <v>185.5</v>
      </c>
      <c r="Z953" s="824">
        <v>87.63480000000001</v>
      </c>
      <c r="AA953" s="838">
        <v>730.2900000000001</v>
      </c>
      <c r="AB953" s="830"/>
      <c r="AC953" s="940">
        <v>106</v>
      </c>
      <c r="AD953" s="830" t="s">
        <v>484</v>
      </c>
      <c r="AE953" s="830">
        <v>0</v>
      </c>
      <c r="AF953" s="803">
        <v>15041</v>
      </c>
    </row>
    <row r="954" spans="1:32" ht="15">
      <c r="A954" s="154">
        <v>15048</v>
      </c>
      <c r="B954" s="992"/>
      <c r="C954" s="992" t="s">
        <v>1480</v>
      </c>
      <c r="D954" s="510">
        <v>15</v>
      </c>
      <c r="E954" s="504">
        <v>170000</v>
      </c>
      <c r="F954" s="509">
        <v>135</v>
      </c>
      <c r="G954" s="1068">
        <v>900</v>
      </c>
      <c r="H954" s="511">
        <v>820</v>
      </c>
      <c r="I954" s="511">
        <v>1110</v>
      </c>
      <c r="J954" s="766">
        <v>30</v>
      </c>
      <c r="K954" s="145" t="s">
        <v>347</v>
      </c>
      <c r="L954" s="492">
        <v>15</v>
      </c>
      <c r="M954" s="766">
        <v>500</v>
      </c>
      <c r="N954" s="500">
        <v>0</v>
      </c>
      <c r="O954" s="788">
        <v>1.05</v>
      </c>
      <c r="P954" s="492">
        <v>73</v>
      </c>
      <c r="Q954" s="507">
        <v>0.1</v>
      </c>
      <c r="R954" s="201">
        <v>809.2800000000001</v>
      </c>
      <c r="S954" s="201">
        <v>135</v>
      </c>
      <c r="T954" s="1277">
        <v>14661.333333333334</v>
      </c>
      <c r="U954" s="506">
        <v>6.3912</v>
      </c>
      <c r="V954" s="511">
        <v>357</v>
      </c>
      <c r="W954" s="506"/>
      <c r="X954" s="506">
        <v>2.8000000000000003</v>
      </c>
      <c r="Y954" s="848">
        <v>357</v>
      </c>
      <c r="Z954" s="831">
        <v>139.54233333333335</v>
      </c>
      <c r="AA954" s="861">
        <v>930.2822222222223</v>
      </c>
      <c r="AB954" s="826"/>
      <c r="AC954" s="939">
        <v>340</v>
      </c>
      <c r="AD954" s="826" t="s">
        <v>484</v>
      </c>
      <c r="AE954" s="826">
        <v>0</v>
      </c>
      <c r="AF954" s="804">
        <v>15048</v>
      </c>
    </row>
    <row r="955" spans="1:32" ht="15">
      <c r="A955" s="990">
        <v>15049</v>
      </c>
      <c r="B955" s="991"/>
      <c r="C955" s="991" t="s">
        <v>1481</v>
      </c>
      <c r="D955" s="1040">
        <v>24</v>
      </c>
      <c r="E955" s="1028">
        <v>133000</v>
      </c>
      <c r="F955" s="1041">
        <v>137</v>
      </c>
      <c r="G955" s="1067">
        <v>570</v>
      </c>
      <c r="H955" s="620">
        <v>510</v>
      </c>
      <c r="I955" s="620">
        <v>680</v>
      </c>
      <c r="J955" s="1043">
        <v>40</v>
      </c>
      <c r="K955" s="1032" t="s">
        <v>347</v>
      </c>
      <c r="L955" s="1251">
        <v>15</v>
      </c>
      <c r="M955" s="1043">
        <v>600</v>
      </c>
      <c r="N955" s="1264">
        <v>0</v>
      </c>
      <c r="O955" s="815">
        <v>1.05</v>
      </c>
      <c r="P955" s="812">
        <v>73</v>
      </c>
      <c r="Q955" s="609">
        <v>0.1</v>
      </c>
      <c r="R955" s="610">
        <v>568.56</v>
      </c>
      <c r="S955" s="610">
        <v>60</v>
      </c>
      <c r="T955" s="1278">
        <v>11565.666666666666</v>
      </c>
      <c r="U955" s="608">
        <v>6.423599999999999</v>
      </c>
      <c r="V955" s="620">
        <v>232.75</v>
      </c>
      <c r="W955" s="613"/>
      <c r="X955" s="608">
        <v>2.8000000000000003</v>
      </c>
      <c r="Y955" s="846">
        <v>232.75</v>
      </c>
      <c r="Z955" s="824">
        <v>137.77939999999998</v>
      </c>
      <c r="AA955" s="838">
        <v>574.0808333333333</v>
      </c>
      <c r="AB955" s="830"/>
      <c r="AC955" s="940">
        <v>266</v>
      </c>
      <c r="AD955" s="830" t="s">
        <v>484</v>
      </c>
      <c r="AE955" s="830">
        <v>0</v>
      </c>
      <c r="AF955" s="803">
        <v>15049</v>
      </c>
    </row>
    <row r="956" spans="1:32" ht="15">
      <c r="A956" s="154">
        <v>15050</v>
      </c>
      <c r="B956" s="992"/>
      <c r="C956" s="992" t="s">
        <v>1544</v>
      </c>
      <c r="D956" s="510">
        <v>70</v>
      </c>
      <c r="E956" s="504">
        <v>16000</v>
      </c>
      <c r="F956" s="509">
        <v>182</v>
      </c>
      <c r="G956" s="1068">
        <v>260</v>
      </c>
      <c r="H956" s="511">
        <v>220</v>
      </c>
      <c r="I956" s="511">
        <v>320</v>
      </c>
      <c r="J956" s="766">
        <v>10</v>
      </c>
      <c r="K956" s="145" t="s">
        <v>347</v>
      </c>
      <c r="L956" s="492">
        <v>12</v>
      </c>
      <c r="M956" s="766">
        <v>300</v>
      </c>
      <c r="N956" s="500">
        <v>0.25</v>
      </c>
      <c r="O956" s="788">
        <v>1.15</v>
      </c>
      <c r="P956" s="492">
        <v>73</v>
      </c>
      <c r="Q956" s="507"/>
      <c r="R956" s="201">
        <v>134.32</v>
      </c>
      <c r="S956" s="201">
        <v>60</v>
      </c>
      <c r="T956" s="1277">
        <v>1750</v>
      </c>
      <c r="U956" s="549">
        <v>194.32</v>
      </c>
      <c r="V956" s="511">
        <v>61.33333333333333</v>
      </c>
      <c r="W956" s="506"/>
      <c r="X956" s="506"/>
      <c r="Y956" s="848">
        <v>61.33333333333333</v>
      </c>
      <c r="Z956" s="831">
        <v>181.97666666666663</v>
      </c>
      <c r="AA956" s="861">
        <v>259.96666666666664</v>
      </c>
      <c r="AB956" s="826"/>
      <c r="AC956" s="939">
        <v>32</v>
      </c>
      <c r="AD956" s="826" t="s">
        <v>484</v>
      </c>
      <c r="AE956" s="826">
        <v>0</v>
      </c>
      <c r="AF956" s="804">
        <v>15050</v>
      </c>
    </row>
    <row r="957" spans="1:32" ht="15">
      <c r="A957" s="994">
        <v>15042</v>
      </c>
      <c r="B957" s="1000"/>
      <c r="C957" s="1000" t="s">
        <v>1067</v>
      </c>
      <c r="D957" s="1069">
        <v>40</v>
      </c>
      <c r="E957" s="1070">
        <v>17500</v>
      </c>
      <c r="F957" s="1156">
        <v>96</v>
      </c>
      <c r="G957" s="1157">
        <v>240</v>
      </c>
      <c r="H957" s="1138">
        <v>210</v>
      </c>
      <c r="I957" s="1138">
        <v>300</v>
      </c>
      <c r="J957" s="1158">
        <v>10</v>
      </c>
      <c r="K957" s="1075" t="s">
        <v>347</v>
      </c>
      <c r="L957" s="1254">
        <v>12</v>
      </c>
      <c r="M957" s="1259">
        <v>300</v>
      </c>
      <c r="N957" s="1266">
        <v>0.25</v>
      </c>
      <c r="O957" s="815">
        <v>1.25</v>
      </c>
      <c r="P957" s="812">
        <v>7</v>
      </c>
      <c r="Q957" s="609"/>
      <c r="R957" s="610">
        <v>198.56</v>
      </c>
      <c r="S957" s="610">
        <v>105</v>
      </c>
      <c r="T957" s="1281">
        <v>1477</v>
      </c>
      <c r="U957" s="640">
        <v>303.56</v>
      </c>
      <c r="V957" s="1138">
        <v>72.91666666666667</v>
      </c>
      <c r="W957" s="1073"/>
      <c r="X957" s="608"/>
      <c r="Y957" s="846">
        <v>72.91666666666667</v>
      </c>
      <c r="Z957" s="828">
        <v>97.07133333333336</v>
      </c>
      <c r="AA957" s="838">
        <v>242.67833333333337</v>
      </c>
      <c r="AB957" s="830"/>
      <c r="AC957" s="940">
        <v>35</v>
      </c>
      <c r="AD957" s="830" t="s">
        <v>484</v>
      </c>
      <c r="AE957" s="830">
        <v>0</v>
      </c>
      <c r="AF957" s="803">
        <v>15042</v>
      </c>
    </row>
    <row r="958" spans="1:32" ht="30">
      <c r="A958" s="531">
        <v>15043</v>
      </c>
      <c r="B958" s="763"/>
      <c r="C958" s="992" t="s">
        <v>1068</v>
      </c>
      <c r="D958" s="510">
        <v>15</v>
      </c>
      <c r="E958" s="504">
        <v>124000</v>
      </c>
      <c r="F958" s="509">
        <v>131</v>
      </c>
      <c r="G958" s="1068">
        <v>870</v>
      </c>
      <c r="H958" s="511">
        <v>740</v>
      </c>
      <c r="I958" s="511">
        <v>1090</v>
      </c>
      <c r="J958" s="766">
        <v>20</v>
      </c>
      <c r="K958" s="145" t="s">
        <v>347</v>
      </c>
      <c r="L958" s="492">
        <v>12</v>
      </c>
      <c r="M958" s="766">
        <v>300</v>
      </c>
      <c r="N958" s="500">
        <v>0.1</v>
      </c>
      <c r="O958" s="788">
        <v>0.5</v>
      </c>
      <c r="P958" s="492">
        <v>29</v>
      </c>
      <c r="Q958" s="507"/>
      <c r="R958" s="201">
        <v>373.76</v>
      </c>
      <c r="S958" s="201">
        <v>180</v>
      </c>
      <c r="T958" s="1277">
        <v>11706</v>
      </c>
      <c r="U958" s="549">
        <v>553.76</v>
      </c>
      <c r="V958" s="511">
        <v>206.66666666666666</v>
      </c>
      <c r="W958" s="506"/>
      <c r="X958" s="506"/>
      <c r="Y958" s="848">
        <v>206.66666666666666</v>
      </c>
      <c r="Z958" s="831">
        <v>130.6745</v>
      </c>
      <c r="AA958" s="861">
        <v>871.1633333333333</v>
      </c>
      <c r="AB958" s="541"/>
      <c r="AC958" s="939">
        <v>248</v>
      </c>
      <c r="AD958" s="826" t="s">
        <v>484</v>
      </c>
      <c r="AE958" s="541">
        <v>0</v>
      </c>
      <c r="AF958" s="531">
        <v>15043</v>
      </c>
    </row>
    <row r="959" spans="1:32" ht="15">
      <c r="A959" s="994">
        <v>15051</v>
      </c>
      <c r="B959" s="1000"/>
      <c r="C959" s="1000" t="s">
        <v>1482</v>
      </c>
      <c r="D959" s="1250"/>
      <c r="E959" s="1070">
        <v>5000</v>
      </c>
      <c r="F959" s="1156"/>
      <c r="G959" s="1157">
        <v>70</v>
      </c>
      <c r="H959" s="1138">
        <v>60</v>
      </c>
      <c r="I959" s="1138">
        <v>90</v>
      </c>
      <c r="J959" s="1158">
        <v>6</v>
      </c>
      <c r="K959" s="1075" t="s">
        <v>347</v>
      </c>
      <c r="L959" s="1254">
        <v>20</v>
      </c>
      <c r="M959" s="1259">
        <v>300</v>
      </c>
      <c r="N959" s="1266">
        <v>0.25</v>
      </c>
      <c r="O959" s="815">
        <v>0.5</v>
      </c>
      <c r="P959" s="812">
        <v>7</v>
      </c>
      <c r="Q959" s="507"/>
      <c r="R959" s="201"/>
      <c r="S959" s="201"/>
      <c r="T959" s="1281">
        <v>327</v>
      </c>
      <c r="U959" s="549"/>
      <c r="V959" s="1138">
        <v>8.333333333333334</v>
      </c>
      <c r="W959" s="1073"/>
      <c r="X959" s="506"/>
      <c r="Y959" s="846">
        <v>8.333333333333334</v>
      </c>
      <c r="Z959" s="828">
        <v>0</v>
      </c>
      <c r="AA959" s="838">
        <v>69.11666666666667</v>
      </c>
      <c r="AB959" s="830"/>
      <c r="AC959" s="940">
        <v>10</v>
      </c>
      <c r="AD959" s="830" t="s">
        <v>484</v>
      </c>
      <c r="AE959" s="830">
        <v>0</v>
      </c>
      <c r="AF959" s="803">
        <v>15051</v>
      </c>
    </row>
    <row r="960" spans="1:32" ht="15">
      <c r="A960" s="154">
        <v>15052</v>
      </c>
      <c r="B960" s="992"/>
      <c r="C960" s="992" t="s">
        <v>1483</v>
      </c>
      <c r="D960" s="544"/>
      <c r="E960" s="504">
        <v>43000</v>
      </c>
      <c r="F960" s="509"/>
      <c r="G960" s="1068">
        <v>820</v>
      </c>
      <c r="H960" s="511">
        <v>690</v>
      </c>
      <c r="I960" s="511">
        <v>1040</v>
      </c>
      <c r="J960" s="766">
        <v>6</v>
      </c>
      <c r="K960" s="145" t="s">
        <v>347</v>
      </c>
      <c r="L960" s="492">
        <v>12</v>
      </c>
      <c r="M960" s="782">
        <v>300</v>
      </c>
      <c r="N960" s="500">
        <v>0.25</v>
      </c>
      <c r="O960" s="788">
        <v>1.05</v>
      </c>
      <c r="P960" s="492">
        <v>7</v>
      </c>
      <c r="Q960" s="626"/>
      <c r="R960" s="627" t="s">
        <v>413</v>
      </c>
      <c r="S960" s="627"/>
      <c r="T960" s="1277">
        <v>3568</v>
      </c>
      <c r="U960" s="637"/>
      <c r="V960" s="511">
        <v>150.50000000000003</v>
      </c>
      <c r="W960" s="506"/>
      <c r="X960" s="625"/>
      <c r="Y960" s="848">
        <v>150.50000000000003</v>
      </c>
      <c r="Z960" s="831">
        <v>0</v>
      </c>
      <c r="AA960" s="861">
        <v>819.6833333333334</v>
      </c>
      <c r="AB960" s="826"/>
      <c r="AC960" s="939">
        <v>86</v>
      </c>
      <c r="AD960" s="826" t="s">
        <v>484</v>
      </c>
      <c r="AE960" s="826">
        <v>0</v>
      </c>
      <c r="AF960" s="804">
        <v>15052</v>
      </c>
    </row>
    <row r="961" spans="1:32" ht="30">
      <c r="A961" s="994">
        <v>15044</v>
      </c>
      <c r="B961" s="1000"/>
      <c r="C961" s="1000" t="s">
        <v>1069</v>
      </c>
      <c r="D961" s="1250"/>
      <c r="E961" s="1070">
        <v>27000</v>
      </c>
      <c r="F961" s="1156"/>
      <c r="G961" s="1157">
        <v>110</v>
      </c>
      <c r="H961" s="1138">
        <v>98</v>
      </c>
      <c r="I961" s="1138">
        <v>134</v>
      </c>
      <c r="J961" s="1158">
        <v>30</v>
      </c>
      <c r="K961" s="1075" t="s">
        <v>347</v>
      </c>
      <c r="L961" s="1254">
        <v>18</v>
      </c>
      <c r="M961" s="1259">
        <v>700</v>
      </c>
      <c r="N961" s="1266">
        <v>0.1</v>
      </c>
      <c r="O961" s="815">
        <v>1</v>
      </c>
      <c r="P961" s="812">
        <v>7</v>
      </c>
      <c r="Q961" s="507"/>
      <c r="R961" s="201" t="s">
        <v>413</v>
      </c>
      <c r="S961" s="201"/>
      <c r="T961" s="1281">
        <v>1878</v>
      </c>
      <c r="U961" s="511"/>
      <c r="V961" s="1138">
        <v>38.57142857142857</v>
      </c>
      <c r="W961" s="1073"/>
      <c r="X961" s="506"/>
      <c r="Y961" s="846">
        <v>38.57142857142857</v>
      </c>
      <c r="Z961" s="828">
        <v>0</v>
      </c>
      <c r="AA961" s="838">
        <v>111.28857142857144</v>
      </c>
      <c r="AB961" s="830"/>
      <c r="AC961" s="940">
        <v>54</v>
      </c>
      <c r="AD961" s="830" t="s">
        <v>484</v>
      </c>
      <c r="AE961" s="830">
        <v>0</v>
      </c>
      <c r="AF961" s="803">
        <v>15044</v>
      </c>
    </row>
    <row r="962" spans="1:32" ht="30">
      <c r="A962" s="154">
        <v>15053</v>
      </c>
      <c r="B962" s="992"/>
      <c r="C962" s="992" t="s">
        <v>1484</v>
      </c>
      <c r="D962" s="544"/>
      <c r="E962" s="504">
        <v>43000</v>
      </c>
      <c r="F962" s="509"/>
      <c r="G962" s="1068">
        <v>180</v>
      </c>
      <c r="H962" s="511">
        <v>158</v>
      </c>
      <c r="I962" s="511">
        <v>216</v>
      </c>
      <c r="J962" s="766">
        <v>30</v>
      </c>
      <c r="K962" s="145" t="s">
        <v>347</v>
      </c>
      <c r="L962" s="492">
        <v>18</v>
      </c>
      <c r="M962" s="782">
        <v>700</v>
      </c>
      <c r="N962" s="500">
        <v>0.1</v>
      </c>
      <c r="O962" s="788">
        <v>1.05</v>
      </c>
      <c r="P962" s="492">
        <v>7</v>
      </c>
      <c r="Q962" s="603"/>
      <c r="R962" s="605" t="s">
        <v>413</v>
      </c>
      <c r="S962" s="606"/>
      <c r="T962" s="1277">
        <v>2966</v>
      </c>
      <c r="U962" s="604"/>
      <c r="V962" s="511">
        <v>64.5</v>
      </c>
      <c r="W962" s="506"/>
      <c r="X962" s="604"/>
      <c r="Y962" s="848">
        <v>64.5</v>
      </c>
      <c r="Z962" s="831">
        <v>0</v>
      </c>
      <c r="AA962" s="861">
        <v>179.70333333333335</v>
      </c>
      <c r="AB962" s="826"/>
      <c r="AC962" s="939">
        <v>86</v>
      </c>
      <c r="AD962" s="826" t="s">
        <v>484</v>
      </c>
      <c r="AE962" s="826">
        <v>0</v>
      </c>
      <c r="AF962" s="804">
        <v>15053</v>
      </c>
    </row>
    <row r="963" spans="1:32" ht="15">
      <c r="A963" s="1008">
        <v>15045</v>
      </c>
      <c r="B963" s="993"/>
      <c r="C963" s="991" t="s">
        <v>1070</v>
      </c>
      <c r="D963" s="1040"/>
      <c r="E963" s="1028">
        <v>23000</v>
      </c>
      <c r="F963" s="1041"/>
      <c r="G963" s="1067">
        <v>270</v>
      </c>
      <c r="H963" s="620">
        <v>240</v>
      </c>
      <c r="I963" s="620">
        <v>320</v>
      </c>
      <c r="J963" s="1043">
        <v>20</v>
      </c>
      <c r="K963" s="1032" t="s">
        <v>347</v>
      </c>
      <c r="L963" s="1251">
        <v>10</v>
      </c>
      <c r="M963" s="1043">
        <v>300</v>
      </c>
      <c r="N963" s="1264">
        <v>0.1</v>
      </c>
      <c r="O963" s="815">
        <v>1.5</v>
      </c>
      <c r="P963" s="812">
        <v>29</v>
      </c>
      <c r="Q963" s="507"/>
      <c r="R963" s="201" t="s">
        <v>413</v>
      </c>
      <c r="S963" s="201"/>
      <c r="T963" s="1278">
        <v>2658</v>
      </c>
      <c r="U963" s="506"/>
      <c r="V963" s="620">
        <v>115</v>
      </c>
      <c r="W963" s="613"/>
      <c r="X963" s="506"/>
      <c r="Y963" s="846">
        <v>115</v>
      </c>
      <c r="Z963" s="824">
        <v>0</v>
      </c>
      <c r="AA963" s="838">
        <v>272.69000000000005</v>
      </c>
      <c r="AB963" s="923"/>
      <c r="AC963" s="940">
        <v>46</v>
      </c>
      <c r="AD963" s="830" t="s">
        <v>484</v>
      </c>
      <c r="AE963" s="923">
        <v>0</v>
      </c>
      <c r="AF963" s="807">
        <v>15045</v>
      </c>
    </row>
    <row r="964" spans="1:32" ht="15">
      <c r="A964" s="531">
        <v>15054</v>
      </c>
      <c r="B964" s="763"/>
      <c r="C964" s="992" t="s">
        <v>1485</v>
      </c>
      <c r="D964" s="510"/>
      <c r="E964" s="504">
        <v>28000</v>
      </c>
      <c r="F964" s="509"/>
      <c r="G964" s="1068">
        <v>330</v>
      </c>
      <c r="H964" s="511">
        <v>290</v>
      </c>
      <c r="I964" s="511">
        <v>390</v>
      </c>
      <c r="J964" s="766">
        <v>20</v>
      </c>
      <c r="K964" s="145" t="s">
        <v>347</v>
      </c>
      <c r="L964" s="492">
        <v>10</v>
      </c>
      <c r="M964" s="766">
        <v>300</v>
      </c>
      <c r="N964" s="500">
        <v>0.1</v>
      </c>
      <c r="O964" s="788">
        <v>1.5</v>
      </c>
      <c r="P964" s="492">
        <v>29</v>
      </c>
      <c r="Q964" s="609">
        <v>0.2</v>
      </c>
      <c r="R964" s="610">
        <v>1293.5</v>
      </c>
      <c r="S964" s="610">
        <v>161</v>
      </c>
      <c r="T964" s="1277">
        <v>3198</v>
      </c>
      <c r="U964" s="620">
        <v>148.05</v>
      </c>
      <c r="V964" s="511">
        <v>140</v>
      </c>
      <c r="W964" s="506"/>
      <c r="X964" s="620">
        <v>5.6000000000000005</v>
      </c>
      <c r="Y964" s="848">
        <v>140</v>
      </c>
      <c r="Z964" s="831">
        <v>0</v>
      </c>
      <c r="AA964" s="861">
        <v>329.89</v>
      </c>
      <c r="AB964" s="541"/>
      <c r="AC964" s="939">
        <v>56</v>
      </c>
      <c r="AD964" s="826" t="s">
        <v>484</v>
      </c>
      <c r="AE964" s="541">
        <v>0</v>
      </c>
      <c r="AF964" s="531">
        <v>15054</v>
      </c>
    </row>
    <row r="965" spans="1:32" ht="15">
      <c r="A965" s="994">
        <v>15046</v>
      </c>
      <c r="B965" s="1000"/>
      <c r="C965" s="1000" t="s">
        <v>1071</v>
      </c>
      <c r="D965" s="1069">
        <v>10</v>
      </c>
      <c r="E965" s="1070">
        <v>27000</v>
      </c>
      <c r="F965" s="1156">
        <v>64</v>
      </c>
      <c r="G965" s="1157">
        <v>640</v>
      </c>
      <c r="H965" s="1138">
        <v>540</v>
      </c>
      <c r="I965" s="1138">
        <v>800</v>
      </c>
      <c r="J965" s="1158">
        <v>6</v>
      </c>
      <c r="K965" s="1075" t="s">
        <v>347</v>
      </c>
      <c r="L965" s="1254">
        <v>10</v>
      </c>
      <c r="M965" s="1259">
        <v>200</v>
      </c>
      <c r="N965" s="1266">
        <v>0.25</v>
      </c>
      <c r="O965" s="815">
        <v>1.1</v>
      </c>
      <c r="P965" s="812">
        <v>7</v>
      </c>
      <c r="Q965" s="507">
        <v>0.1</v>
      </c>
      <c r="R965" s="201">
        <v>447.75</v>
      </c>
      <c r="S965" s="201">
        <v>189</v>
      </c>
      <c r="T965" s="1281">
        <v>2593.5</v>
      </c>
      <c r="U965" s="511">
        <v>64.575</v>
      </c>
      <c r="V965" s="1138">
        <v>148.5</v>
      </c>
      <c r="W965" s="1073"/>
      <c r="X965" s="511">
        <v>2.8000000000000003</v>
      </c>
      <c r="Y965" s="846">
        <v>148.5</v>
      </c>
      <c r="Z965" s="828">
        <v>63.8825</v>
      </c>
      <c r="AA965" s="838">
        <v>638.825</v>
      </c>
      <c r="AB965" s="830"/>
      <c r="AC965" s="940">
        <v>54</v>
      </c>
      <c r="AD965" s="830" t="s">
        <v>484</v>
      </c>
      <c r="AE965" s="830">
        <v>0</v>
      </c>
      <c r="AF965" s="803">
        <v>15046</v>
      </c>
    </row>
    <row r="966" spans="1:32" ht="15">
      <c r="A966" s="531">
        <v>15047</v>
      </c>
      <c r="B966" s="763"/>
      <c r="C966" s="992" t="s">
        <v>1072</v>
      </c>
      <c r="D966" s="510" t="s">
        <v>347</v>
      </c>
      <c r="E966" s="504">
        <v>11000</v>
      </c>
      <c r="F966" s="621">
        <v>12</v>
      </c>
      <c r="G966" s="1065"/>
      <c r="H966" s="506">
        <v>11</v>
      </c>
      <c r="I966" s="506">
        <v>15</v>
      </c>
      <c r="J966" s="780">
        <v>200</v>
      </c>
      <c r="K966" s="145" t="s">
        <v>347</v>
      </c>
      <c r="L966" s="492">
        <v>10</v>
      </c>
      <c r="M966" s="773">
        <v>3000</v>
      </c>
      <c r="N966" s="500">
        <v>0.1</v>
      </c>
      <c r="O966" s="788">
        <v>1.15</v>
      </c>
      <c r="P966" s="492">
        <v>29</v>
      </c>
      <c r="Q966" s="507"/>
      <c r="R966" s="201" t="s">
        <v>413</v>
      </c>
      <c r="S966" s="201"/>
      <c r="T966" s="1277">
        <v>1362</v>
      </c>
      <c r="U966" s="511"/>
      <c r="V966" s="506">
        <v>4.216666666666666</v>
      </c>
      <c r="W966" s="506"/>
      <c r="X966" s="511"/>
      <c r="Y966" s="823">
        <v>4.216666666666666</v>
      </c>
      <c r="Z966" s="831">
        <v>12.129333333333333</v>
      </c>
      <c r="AA966" s="861"/>
      <c r="AB966" s="541"/>
      <c r="AC966" s="939">
        <v>22</v>
      </c>
      <c r="AD966" s="826" t="s">
        <v>483</v>
      </c>
      <c r="AE966" s="541">
        <v>0</v>
      </c>
      <c r="AF966" s="531">
        <v>15047</v>
      </c>
    </row>
    <row r="967" spans="28:29" ht="12" customHeight="1">
      <c r="AB967" s="541"/>
      <c r="AC967" s="939"/>
    </row>
  </sheetData>
  <sheetProtection password="CAF9" sheet="1" formatColumns="0" formatRow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8" customWidth="1"/>
    <col min="2" max="2" width="22.140625" style="18" customWidth="1"/>
    <col min="3" max="5" width="7.7109375" style="19" customWidth="1"/>
    <col min="6" max="6" width="8.7109375" style="19" customWidth="1"/>
    <col min="7" max="9" width="9.8515625" style="20" customWidth="1"/>
    <col min="10" max="10" width="9.8515625" style="21" customWidth="1"/>
    <col min="11" max="11" width="9.8515625" style="20" customWidth="1"/>
    <col min="12" max="12" width="9.8515625" style="22" customWidth="1"/>
    <col min="13" max="16" width="8.7109375" style="21" customWidth="1"/>
    <col min="17" max="25" width="8.7109375" style="19" customWidth="1"/>
    <col min="26" max="16384" width="11.421875" style="18" customWidth="1"/>
  </cols>
  <sheetData>
    <row r="1" spans="1:25" s="13" customFormat="1" ht="15">
      <c r="A1" s="12" t="s">
        <v>183</v>
      </c>
      <c r="C1" s="14"/>
      <c r="D1" s="14"/>
      <c r="E1" s="14"/>
      <c r="F1" s="14"/>
      <c r="G1" s="15"/>
      <c r="H1" s="15"/>
      <c r="I1" s="15"/>
      <c r="J1" s="16"/>
      <c r="K1" s="15"/>
      <c r="L1" s="17"/>
      <c r="M1" s="16"/>
      <c r="N1" s="16"/>
      <c r="O1" s="16"/>
      <c r="P1" s="16"/>
      <c r="Q1" s="14"/>
      <c r="R1" s="14"/>
      <c r="S1" s="14"/>
      <c r="T1" s="14"/>
      <c r="U1" s="14"/>
      <c r="V1" s="14"/>
      <c r="W1" s="14"/>
      <c r="X1" s="14"/>
      <c r="Y1" s="14"/>
    </row>
    <row r="2" ht="10.5"/>
    <row r="3" spans="1:25" ht="11.25">
      <c r="A3" s="23" t="s">
        <v>184</v>
      </c>
      <c r="B3" s="24"/>
      <c r="C3" s="25"/>
      <c r="D3" s="25" t="s">
        <v>185</v>
      </c>
      <c r="E3" s="25" t="s">
        <v>186</v>
      </c>
      <c r="F3" s="117" t="s">
        <v>415</v>
      </c>
      <c r="G3" s="26">
        <v>2009</v>
      </c>
      <c r="H3" s="26">
        <v>2008</v>
      </c>
      <c r="I3" s="26">
        <v>2007</v>
      </c>
      <c r="J3" s="27">
        <v>2006</v>
      </c>
      <c r="K3" s="26">
        <v>2005</v>
      </c>
      <c r="L3" s="28">
        <v>2004</v>
      </c>
      <c r="M3" s="27">
        <v>2003</v>
      </c>
      <c r="N3" s="27">
        <v>2002</v>
      </c>
      <c r="O3" s="27">
        <v>2001</v>
      </c>
      <c r="P3" s="27">
        <v>2000</v>
      </c>
      <c r="Q3" s="29">
        <v>1999</v>
      </c>
      <c r="R3" s="29">
        <v>1998</v>
      </c>
      <c r="S3" s="29">
        <v>1997</v>
      </c>
      <c r="T3" s="29">
        <v>1996</v>
      </c>
      <c r="U3" s="29">
        <v>1995</v>
      </c>
      <c r="V3" s="29">
        <v>1994</v>
      </c>
      <c r="W3" s="29">
        <v>1993</v>
      </c>
      <c r="X3" s="29">
        <v>1992</v>
      </c>
      <c r="Y3" s="29">
        <v>1991</v>
      </c>
    </row>
    <row r="4" spans="1:25" ht="10.5">
      <c r="A4" s="30" t="s">
        <v>187</v>
      </c>
      <c r="B4" s="31"/>
      <c r="C4" s="32"/>
      <c r="D4" s="32" t="s">
        <v>188</v>
      </c>
      <c r="E4" s="32" t="s">
        <v>189</v>
      </c>
      <c r="F4" s="118">
        <v>39975</v>
      </c>
      <c r="G4" s="33">
        <v>39622</v>
      </c>
      <c r="H4" s="33">
        <v>39267</v>
      </c>
      <c r="I4" s="33">
        <v>38903</v>
      </c>
      <c r="J4" s="34">
        <v>38546</v>
      </c>
      <c r="K4" s="33">
        <v>38181</v>
      </c>
      <c r="L4" s="35">
        <v>37818</v>
      </c>
      <c r="M4" s="34">
        <v>37438</v>
      </c>
      <c r="N4" s="34">
        <v>37056</v>
      </c>
      <c r="O4" s="34">
        <v>36721</v>
      </c>
      <c r="P4" s="34">
        <v>36336</v>
      </c>
      <c r="Q4" s="36">
        <v>35976</v>
      </c>
      <c r="R4" s="36">
        <v>35626</v>
      </c>
      <c r="S4" s="36">
        <v>35272</v>
      </c>
      <c r="T4" s="36">
        <v>34887</v>
      </c>
      <c r="U4" s="36">
        <v>34522</v>
      </c>
      <c r="V4" s="36">
        <v>34170</v>
      </c>
      <c r="W4" s="36">
        <v>33793</v>
      </c>
      <c r="X4" s="36" t="s">
        <v>347</v>
      </c>
      <c r="Y4" s="36">
        <v>33035</v>
      </c>
    </row>
    <row r="5" spans="1:25" ht="10.5">
      <c r="A5" s="37"/>
      <c r="B5" s="38"/>
      <c r="C5" s="39"/>
      <c r="D5" s="39"/>
      <c r="E5" s="39"/>
      <c r="F5" s="40"/>
      <c r="G5" s="40"/>
      <c r="H5" s="40"/>
      <c r="I5" s="40"/>
      <c r="J5" s="41"/>
      <c r="K5" s="40"/>
      <c r="L5" s="42"/>
      <c r="M5" s="41"/>
      <c r="N5" s="41"/>
      <c r="O5" s="41"/>
      <c r="P5" s="41"/>
      <c r="Q5" s="39"/>
      <c r="R5" s="39"/>
      <c r="S5" s="39"/>
      <c r="T5" s="39"/>
      <c r="U5" s="39"/>
      <c r="V5" s="39"/>
      <c r="W5" s="39"/>
      <c r="X5" s="39"/>
      <c r="Y5" s="39"/>
    </row>
    <row r="6" spans="1:25" ht="11.25">
      <c r="A6" s="43" t="s">
        <v>190</v>
      </c>
      <c r="B6" s="44"/>
      <c r="C6" s="45"/>
      <c r="D6" s="45"/>
      <c r="E6" s="45"/>
      <c r="F6" s="46"/>
      <c r="G6" s="46"/>
      <c r="H6" s="46"/>
      <c r="I6" s="46"/>
      <c r="J6" s="47"/>
      <c r="K6" s="46"/>
      <c r="L6" s="48"/>
      <c r="M6" s="47"/>
      <c r="N6" s="47"/>
      <c r="O6" s="47"/>
      <c r="P6" s="47"/>
      <c r="Q6" s="45"/>
      <c r="R6" s="45"/>
      <c r="S6" s="45"/>
      <c r="T6" s="45"/>
      <c r="U6" s="45"/>
      <c r="V6" s="45"/>
      <c r="W6" s="45"/>
      <c r="X6" s="45"/>
      <c r="Y6" s="45"/>
    </row>
    <row r="7" spans="1:25" ht="10.5">
      <c r="A7" s="49"/>
      <c r="B7" s="44" t="s">
        <v>191</v>
      </c>
      <c r="C7" s="45" t="s">
        <v>173</v>
      </c>
      <c r="D7" s="45"/>
      <c r="E7" s="45"/>
      <c r="F7" s="50"/>
      <c r="G7" s="50">
        <v>27</v>
      </c>
      <c r="H7" s="50">
        <v>27</v>
      </c>
      <c r="I7" s="50">
        <v>27</v>
      </c>
      <c r="J7" s="51">
        <v>26</v>
      </c>
      <c r="K7" s="50">
        <v>26</v>
      </c>
      <c r="L7" s="52">
        <v>25</v>
      </c>
      <c r="M7" s="51">
        <v>25</v>
      </c>
      <c r="N7" s="51">
        <v>24</v>
      </c>
      <c r="O7" s="51">
        <v>24</v>
      </c>
      <c r="P7" s="51">
        <v>23</v>
      </c>
      <c r="Q7" s="53">
        <v>23</v>
      </c>
      <c r="R7" s="53">
        <v>23</v>
      </c>
      <c r="S7" s="53">
        <v>23</v>
      </c>
      <c r="T7" s="53">
        <v>23</v>
      </c>
      <c r="U7" s="53">
        <v>22</v>
      </c>
      <c r="V7" s="53">
        <v>22</v>
      </c>
      <c r="W7" s="53">
        <v>21</v>
      </c>
      <c r="X7" s="53">
        <v>20</v>
      </c>
      <c r="Y7" s="53">
        <v>19</v>
      </c>
    </row>
    <row r="8" spans="1:25" ht="10.5">
      <c r="A8" s="49"/>
      <c r="B8" s="44" t="s">
        <v>192</v>
      </c>
      <c r="C8" s="45" t="s">
        <v>173</v>
      </c>
      <c r="D8" s="45"/>
      <c r="E8" s="45"/>
      <c r="F8" s="50"/>
      <c r="G8" s="50">
        <v>62</v>
      </c>
      <c r="H8" s="50">
        <v>61</v>
      </c>
      <c r="I8" s="50">
        <v>61</v>
      </c>
      <c r="J8" s="51">
        <v>58</v>
      </c>
      <c r="K8" s="50">
        <v>58</v>
      </c>
      <c r="L8" s="52">
        <v>56</v>
      </c>
      <c r="M8" s="51">
        <v>55</v>
      </c>
      <c r="N8" s="51">
        <v>49</v>
      </c>
      <c r="O8" s="51">
        <v>49</v>
      </c>
      <c r="P8" s="51">
        <v>46</v>
      </c>
      <c r="Q8" s="53">
        <v>46</v>
      </c>
      <c r="R8" s="53">
        <v>46</v>
      </c>
      <c r="S8" s="53">
        <v>46</v>
      </c>
      <c r="T8" s="53">
        <v>46</v>
      </c>
      <c r="U8" s="53">
        <v>44</v>
      </c>
      <c r="V8" s="53">
        <v>44</v>
      </c>
      <c r="W8" s="53">
        <v>41.6</v>
      </c>
      <c r="X8" s="53">
        <v>39.8</v>
      </c>
      <c r="Y8" s="53">
        <v>35.7</v>
      </c>
    </row>
    <row r="9" spans="1:25" ht="10.5">
      <c r="A9" s="49"/>
      <c r="B9" s="44" t="s">
        <v>193</v>
      </c>
      <c r="C9" s="45" t="s">
        <v>173</v>
      </c>
      <c r="D9" s="45"/>
      <c r="E9" s="45"/>
      <c r="F9" s="50"/>
      <c r="G9" s="50">
        <v>57</v>
      </c>
      <c r="H9" s="50">
        <v>55</v>
      </c>
      <c r="I9" s="50">
        <v>55</v>
      </c>
      <c r="J9" s="51">
        <v>53</v>
      </c>
      <c r="K9" s="50">
        <v>53</v>
      </c>
      <c r="L9" s="52">
        <v>63</v>
      </c>
      <c r="M9" s="51">
        <v>50</v>
      </c>
      <c r="N9" s="51">
        <v>45</v>
      </c>
      <c r="O9" s="51">
        <v>45</v>
      </c>
      <c r="P9" s="51">
        <v>42</v>
      </c>
      <c r="Q9" s="53">
        <v>42</v>
      </c>
      <c r="R9" s="53" t="s">
        <v>194</v>
      </c>
      <c r="S9" s="53" t="s">
        <v>194</v>
      </c>
      <c r="T9" s="53" t="s">
        <v>194</v>
      </c>
      <c r="U9" s="53" t="s">
        <v>195</v>
      </c>
      <c r="V9" s="53" t="s">
        <v>195</v>
      </c>
      <c r="W9" s="53" t="s">
        <v>196</v>
      </c>
      <c r="X9" s="53" t="s">
        <v>197</v>
      </c>
      <c r="Y9" s="53" t="s">
        <v>198</v>
      </c>
    </row>
    <row r="10" spans="1:25" ht="10.5">
      <c r="A10" s="49"/>
      <c r="B10" s="44"/>
      <c r="C10" s="45" t="s">
        <v>173</v>
      </c>
      <c r="D10" s="45"/>
      <c r="E10" s="45"/>
      <c r="F10" s="50"/>
      <c r="G10" s="50">
        <v>68</v>
      </c>
      <c r="H10" s="50">
        <v>66</v>
      </c>
      <c r="I10" s="50">
        <v>66</v>
      </c>
      <c r="J10" s="51">
        <v>64</v>
      </c>
      <c r="K10" s="50">
        <v>63</v>
      </c>
      <c r="L10" s="52">
        <v>61</v>
      </c>
      <c r="M10" s="51">
        <v>59</v>
      </c>
      <c r="N10" s="51">
        <v>54</v>
      </c>
      <c r="O10" s="51">
        <v>54</v>
      </c>
      <c r="P10" s="51">
        <v>51</v>
      </c>
      <c r="Q10" s="53">
        <v>51</v>
      </c>
      <c r="R10" s="53">
        <v>51</v>
      </c>
      <c r="S10" s="53" t="s">
        <v>199</v>
      </c>
      <c r="T10" s="53" t="s">
        <v>199</v>
      </c>
      <c r="U10" s="53" t="s">
        <v>200</v>
      </c>
      <c r="V10" s="53" t="s">
        <v>200</v>
      </c>
      <c r="W10" s="53">
        <v>45</v>
      </c>
      <c r="X10" s="53" t="s">
        <v>194</v>
      </c>
      <c r="Y10" s="53">
        <v>37</v>
      </c>
    </row>
    <row r="11" spans="1:25" ht="10.5">
      <c r="A11" s="49"/>
      <c r="B11" s="44" t="s">
        <v>201</v>
      </c>
      <c r="C11" s="45" t="s">
        <v>173</v>
      </c>
      <c r="D11" s="45"/>
      <c r="E11" s="45"/>
      <c r="F11" s="50"/>
      <c r="G11" s="50">
        <v>47</v>
      </c>
      <c r="H11" s="50"/>
      <c r="I11" s="50"/>
      <c r="J11" s="51"/>
      <c r="K11" s="50"/>
      <c r="L11" s="52"/>
      <c r="M11" s="51"/>
      <c r="N11" s="51"/>
      <c r="O11" s="51"/>
      <c r="P11" s="51"/>
      <c r="Q11" s="53"/>
      <c r="R11" s="53"/>
      <c r="S11" s="53"/>
      <c r="T11" s="53"/>
      <c r="U11" s="53"/>
      <c r="V11" s="53"/>
      <c r="W11" s="53"/>
      <c r="X11" s="53"/>
      <c r="Y11" s="53"/>
    </row>
    <row r="12" spans="1:25" ht="10.5">
      <c r="A12" s="49"/>
      <c r="B12" s="44" t="s">
        <v>193</v>
      </c>
      <c r="C12" s="45" t="s">
        <v>173</v>
      </c>
      <c r="D12" s="45"/>
      <c r="E12" s="45"/>
      <c r="F12" s="50"/>
      <c r="G12" s="50">
        <v>42</v>
      </c>
      <c r="H12" s="50"/>
      <c r="I12" s="50"/>
      <c r="J12" s="51"/>
      <c r="K12" s="50"/>
      <c r="L12" s="52"/>
      <c r="M12" s="51"/>
      <c r="N12" s="51"/>
      <c r="O12" s="51"/>
      <c r="P12" s="51"/>
      <c r="Q12" s="53"/>
      <c r="R12" s="53"/>
      <c r="S12" s="53"/>
      <c r="T12" s="53"/>
      <c r="U12" s="53"/>
      <c r="V12" s="53"/>
      <c r="W12" s="53"/>
      <c r="X12" s="53"/>
      <c r="Y12" s="53"/>
    </row>
    <row r="13" spans="1:25" ht="10.5">
      <c r="A13" s="49"/>
      <c r="B13" s="44"/>
      <c r="C13" s="45" t="s">
        <v>173</v>
      </c>
      <c r="D13" s="45"/>
      <c r="E13" s="45"/>
      <c r="F13" s="50"/>
      <c r="G13" s="50">
        <v>51</v>
      </c>
      <c r="H13" s="50"/>
      <c r="I13" s="50"/>
      <c r="J13" s="51"/>
      <c r="K13" s="50"/>
      <c r="L13" s="52"/>
      <c r="M13" s="51"/>
      <c r="N13" s="51"/>
      <c r="O13" s="51"/>
      <c r="P13" s="51"/>
      <c r="Q13" s="53"/>
      <c r="R13" s="53"/>
      <c r="S13" s="53"/>
      <c r="T13" s="53"/>
      <c r="U13" s="53"/>
      <c r="V13" s="53"/>
      <c r="W13" s="53"/>
      <c r="X13" s="53"/>
      <c r="Y13" s="53"/>
    </row>
    <row r="14" spans="1:25" ht="10.5">
      <c r="A14" s="49"/>
      <c r="B14" s="44"/>
      <c r="C14" s="45" t="s">
        <v>173</v>
      </c>
      <c r="D14" s="45"/>
      <c r="E14" s="45"/>
      <c r="F14" s="50"/>
      <c r="G14" s="50"/>
      <c r="H14" s="50"/>
      <c r="I14" s="50"/>
      <c r="J14" s="51"/>
      <c r="K14" s="50"/>
      <c r="L14" s="52"/>
      <c r="M14" s="51"/>
      <c r="N14" s="51"/>
      <c r="O14" s="51"/>
      <c r="P14" s="51"/>
      <c r="Q14" s="53"/>
      <c r="R14" s="53"/>
      <c r="S14" s="53"/>
      <c r="T14" s="53"/>
      <c r="U14" s="53"/>
      <c r="V14" s="53"/>
      <c r="W14" s="53"/>
      <c r="X14" s="53"/>
      <c r="Y14" s="53"/>
    </row>
    <row r="15" spans="1:25" ht="11.25">
      <c r="A15" s="43" t="s">
        <v>385</v>
      </c>
      <c r="B15" s="44"/>
      <c r="C15" s="45" t="s">
        <v>175</v>
      </c>
      <c r="D15" s="45"/>
      <c r="E15" s="45"/>
      <c r="F15" s="50">
        <v>4</v>
      </c>
      <c r="G15" s="50">
        <v>4</v>
      </c>
      <c r="H15" s="50">
        <v>4</v>
      </c>
      <c r="I15" s="50">
        <v>3.5</v>
      </c>
      <c r="J15" s="51">
        <v>3.5</v>
      </c>
      <c r="K15" s="50">
        <v>4</v>
      </c>
      <c r="L15" s="52">
        <v>4</v>
      </c>
      <c r="M15" s="51">
        <v>4.5</v>
      </c>
      <c r="N15" s="51">
        <v>5</v>
      </c>
      <c r="O15" s="51">
        <v>5</v>
      </c>
      <c r="P15" s="51">
        <v>4.5</v>
      </c>
      <c r="Q15" s="53">
        <v>5</v>
      </c>
      <c r="R15" s="53">
        <v>5</v>
      </c>
      <c r="S15" s="53">
        <v>5.5</v>
      </c>
      <c r="T15" s="53">
        <v>6</v>
      </c>
      <c r="U15" s="53">
        <v>6</v>
      </c>
      <c r="V15" s="53">
        <v>7</v>
      </c>
      <c r="W15" s="53">
        <v>8</v>
      </c>
      <c r="X15" s="53">
        <v>8</v>
      </c>
      <c r="Y15" s="53">
        <v>7.5</v>
      </c>
    </row>
    <row r="16" spans="1:25" ht="10.5">
      <c r="A16" s="49"/>
      <c r="B16" s="44"/>
      <c r="C16" s="45"/>
      <c r="D16" s="45"/>
      <c r="E16" s="45"/>
      <c r="F16" s="50"/>
      <c r="G16" s="50"/>
      <c r="H16" s="50"/>
      <c r="I16" s="50"/>
      <c r="J16" s="51"/>
      <c r="K16" s="50"/>
      <c r="L16" s="52"/>
      <c r="M16" s="51"/>
      <c r="N16" s="51"/>
      <c r="O16" s="51"/>
      <c r="P16" s="51"/>
      <c r="Q16" s="53"/>
      <c r="R16" s="53"/>
      <c r="S16" s="53"/>
      <c r="T16" s="53"/>
      <c r="U16" s="53"/>
      <c r="V16" s="53"/>
      <c r="W16" s="53"/>
      <c r="X16" s="53"/>
      <c r="Y16" s="53"/>
    </row>
    <row r="17" spans="1:25" ht="11.25">
      <c r="A17" s="43" t="s">
        <v>202</v>
      </c>
      <c r="B17" s="44"/>
      <c r="C17" s="45"/>
      <c r="D17" s="45"/>
      <c r="E17" s="45"/>
      <c r="F17" s="50"/>
      <c r="G17" s="50"/>
      <c r="H17" s="50"/>
      <c r="I17" s="50"/>
      <c r="J17" s="51"/>
      <c r="K17" s="50"/>
      <c r="L17" s="52"/>
      <c r="M17" s="51"/>
      <c r="N17" s="51"/>
      <c r="O17" s="51"/>
      <c r="P17" s="51"/>
      <c r="Q17" s="53"/>
      <c r="R17" s="53"/>
      <c r="S17" s="53"/>
      <c r="T17" s="53"/>
      <c r="U17" s="53"/>
      <c r="V17" s="53"/>
      <c r="W17" s="53"/>
      <c r="X17" s="53"/>
      <c r="Y17" s="53"/>
    </row>
    <row r="18" spans="1:25" ht="11.25">
      <c r="A18" s="49"/>
      <c r="B18" s="44" t="s">
        <v>203</v>
      </c>
      <c r="C18" s="45" t="s">
        <v>158</v>
      </c>
      <c r="D18" s="45"/>
      <c r="E18" s="45"/>
      <c r="F18" s="54"/>
      <c r="G18" s="54">
        <v>2.23</v>
      </c>
      <c r="H18" s="54">
        <v>1.71</v>
      </c>
      <c r="I18" s="54">
        <v>1.74</v>
      </c>
      <c r="J18" s="55">
        <v>1.65</v>
      </c>
      <c r="K18" s="50">
        <v>1.4</v>
      </c>
      <c r="L18" s="52">
        <v>1.4</v>
      </c>
      <c r="M18" s="51">
        <v>1.4</v>
      </c>
      <c r="N18" s="51">
        <v>1.4</v>
      </c>
      <c r="O18" s="51">
        <v>1.4</v>
      </c>
      <c r="P18" s="51">
        <v>1.2</v>
      </c>
      <c r="Q18" s="53">
        <v>1.1</v>
      </c>
      <c r="R18" s="53">
        <v>1.1</v>
      </c>
      <c r="S18" s="53">
        <v>1.1</v>
      </c>
      <c r="T18" s="53">
        <v>1.1</v>
      </c>
      <c r="U18" s="53">
        <v>1.15</v>
      </c>
      <c r="V18" s="53">
        <v>1.17</v>
      </c>
      <c r="W18" s="53">
        <v>1</v>
      </c>
      <c r="X18" s="53">
        <v>1.03</v>
      </c>
      <c r="Y18" s="53">
        <v>1</v>
      </c>
    </row>
    <row r="19" spans="1:25" ht="11.25">
      <c r="A19" s="49"/>
      <c r="B19" s="44" t="s">
        <v>157</v>
      </c>
      <c r="C19" s="45" t="s">
        <v>158</v>
      </c>
      <c r="D19" s="45"/>
      <c r="E19" s="45"/>
      <c r="F19" s="56"/>
      <c r="G19" s="56">
        <v>2</v>
      </c>
      <c r="H19" s="56">
        <v>1.77</v>
      </c>
      <c r="I19" s="56">
        <v>1.73</v>
      </c>
      <c r="J19" s="57">
        <v>1.6</v>
      </c>
      <c r="K19" s="50">
        <v>1.4</v>
      </c>
      <c r="L19" s="52">
        <v>1.4</v>
      </c>
      <c r="M19" s="51">
        <v>1.4</v>
      </c>
      <c r="N19" s="51">
        <v>1.4</v>
      </c>
      <c r="O19" s="51">
        <v>1.4</v>
      </c>
      <c r="P19" s="51">
        <v>1.2</v>
      </c>
      <c r="Q19" s="53">
        <v>1.15</v>
      </c>
      <c r="R19" s="53">
        <v>1.15</v>
      </c>
      <c r="S19" s="53">
        <v>1.15</v>
      </c>
      <c r="T19" s="53">
        <v>1.15</v>
      </c>
      <c r="U19" s="53">
        <v>1.14</v>
      </c>
      <c r="V19" s="53">
        <v>1.2</v>
      </c>
      <c r="W19" s="53">
        <v>1.02</v>
      </c>
      <c r="X19" s="53">
        <v>1.04</v>
      </c>
      <c r="Y19" s="53">
        <v>1.04</v>
      </c>
    </row>
    <row r="20" spans="1:25" ht="11.25">
      <c r="A20" s="49"/>
      <c r="B20" s="44" t="s">
        <v>204</v>
      </c>
      <c r="C20" s="45" t="s">
        <v>158</v>
      </c>
      <c r="D20" s="45"/>
      <c r="E20" s="45"/>
      <c r="F20" s="56"/>
      <c r="G20" s="56">
        <v>5.2</v>
      </c>
      <c r="H20" s="56">
        <v>5</v>
      </c>
      <c r="I20" s="56">
        <v>5.1</v>
      </c>
      <c r="J20" s="57">
        <v>5.1</v>
      </c>
      <c r="K20" s="50">
        <v>4.9</v>
      </c>
      <c r="L20" s="52">
        <v>4.9</v>
      </c>
      <c r="M20" s="51">
        <v>4.9</v>
      </c>
      <c r="N20" s="51"/>
      <c r="O20" s="51"/>
      <c r="P20" s="51"/>
      <c r="Q20" s="53"/>
      <c r="R20" s="53"/>
      <c r="S20" s="53"/>
      <c r="T20" s="53"/>
      <c r="U20" s="53"/>
      <c r="V20" s="53"/>
      <c r="W20" s="53"/>
      <c r="X20" s="53"/>
      <c r="Y20" s="53"/>
    </row>
    <row r="21" spans="1:25" ht="10.5">
      <c r="A21" s="49"/>
      <c r="B21" s="44" t="s">
        <v>364</v>
      </c>
      <c r="C21" s="45" t="s">
        <v>158</v>
      </c>
      <c r="D21" s="45"/>
      <c r="E21" s="45"/>
      <c r="F21" s="50"/>
      <c r="G21" s="50"/>
      <c r="H21" s="50"/>
      <c r="I21" s="50"/>
      <c r="J21" s="51"/>
      <c r="K21" s="50"/>
      <c r="L21" s="52"/>
      <c r="M21" s="51"/>
      <c r="N21" s="51"/>
      <c r="O21" s="51"/>
      <c r="P21" s="51">
        <v>4.75</v>
      </c>
      <c r="Q21" s="53">
        <v>5</v>
      </c>
      <c r="R21" s="53">
        <v>5</v>
      </c>
      <c r="S21" s="53">
        <v>5</v>
      </c>
      <c r="T21" s="53">
        <v>5</v>
      </c>
      <c r="U21" s="53">
        <v>4</v>
      </c>
      <c r="V21" s="53">
        <v>4</v>
      </c>
      <c r="W21" s="53">
        <v>4.2</v>
      </c>
      <c r="X21" s="53">
        <v>4.1</v>
      </c>
      <c r="Y21" s="53">
        <v>4.4</v>
      </c>
    </row>
    <row r="22" spans="1:25" ht="10.5">
      <c r="A22" s="49"/>
      <c r="B22" s="44" t="s">
        <v>205</v>
      </c>
      <c r="C22" s="45" t="s">
        <v>158</v>
      </c>
      <c r="D22" s="45"/>
      <c r="E22" s="45"/>
      <c r="F22" s="50">
        <v>5.5</v>
      </c>
      <c r="G22" s="50">
        <v>7</v>
      </c>
      <c r="H22" s="50">
        <v>6.6</v>
      </c>
      <c r="I22" s="50">
        <v>7.6</v>
      </c>
      <c r="J22" s="51">
        <v>7.6</v>
      </c>
      <c r="K22" s="50">
        <v>7.6</v>
      </c>
      <c r="L22" s="52">
        <v>7.6</v>
      </c>
      <c r="M22" s="51">
        <v>7</v>
      </c>
      <c r="N22" s="51">
        <v>6.4</v>
      </c>
      <c r="O22" s="51">
        <v>6.5</v>
      </c>
      <c r="P22" s="51">
        <v>7</v>
      </c>
      <c r="Q22" s="53">
        <v>7</v>
      </c>
      <c r="R22" s="53"/>
      <c r="S22" s="53"/>
      <c r="T22" s="53"/>
      <c r="U22" s="53"/>
      <c r="V22" s="53"/>
      <c r="W22" s="53"/>
      <c r="X22" s="53"/>
      <c r="Y22" s="53"/>
    </row>
    <row r="23" spans="1:25" ht="10.5">
      <c r="A23" s="49"/>
      <c r="B23" s="44"/>
      <c r="C23" s="45"/>
      <c r="D23" s="45"/>
      <c r="E23" s="45"/>
      <c r="F23" s="50"/>
      <c r="G23" s="50"/>
      <c r="H23" s="50"/>
      <c r="I23" s="50"/>
      <c r="J23" s="51"/>
      <c r="K23" s="50"/>
      <c r="L23" s="52"/>
      <c r="M23" s="51"/>
      <c r="N23" s="51"/>
      <c r="O23" s="51"/>
      <c r="P23" s="51"/>
      <c r="Q23" s="53"/>
      <c r="R23" s="53"/>
      <c r="S23" s="53"/>
      <c r="T23" s="53"/>
      <c r="U23" s="53"/>
      <c r="V23" s="53"/>
      <c r="W23" s="53"/>
      <c r="X23" s="53"/>
      <c r="Y23" s="53"/>
    </row>
    <row r="24" spans="1:25" ht="11.25">
      <c r="A24" s="43" t="s">
        <v>159</v>
      </c>
      <c r="B24" s="44"/>
      <c r="C24" s="45"/>
      <c r="D24" s="45"/>
      <c r="E24" s="45"/>
      <c r="F24" s="50"/>
      <c r="G24" s="50"/>
      <c r="H24" s="50"/>
      <c r="I24" s="50"/>
      <c r="J24" s="51"/>
      <c r="K24" s="50"/>
      <c r="L24" s="52"/>
      <c r="M24" s="51"/>
      <c r="N24" s="51"/>
      <c r="O24" s="51"/>
      <c r="P24" s="51"/>
      <c r="Q24" s="53"/>
      <c r="R24" s="53"/>
      <c r="S24" s="53"/>
      <c r="T24" s="53"/>
      <c r="U24" s="53"/>
      <c r="V24" s="53"/>
      <c r="W24" s="53"/>
      <c r="X24" s="53"/>
      <c r="Y24" s="53"/>
    </row>
    <row r="25" spans="1:25" ht="11.25">
      <c r="A25" s="49"/>
      <c r="B25" s="44" t="s">
        <v>207</v>
      </c>
      <c r="C25" s="45" t="s">
        <v>353</v>
      </c>
      <c r="D25" s="45"/>
      <c r="E25" s="45"/>
      <c r="F25" s="58">
        <v>280</v>
      </c>
      <c r="G25" s="58">
        <v>280</v>
      </c>
      <c r="H25" s="50">
        <v>280</v>
      </c>
      <c r="I25" s="50">
        <v>260</v>
      </c>
      <c r="J25" s="51">
        <v>260</v>
      </c>
      <c r="K25" s="50">
        <v>260</v>
      </c>
      <c r="L25" s="52">
        <v>260</v>
      </c>
      <c r="M25" s="51">
        <v>260</v>
      </c>
      <c r="N25" s="51">
        <v>260</v>
      </c>
      <c r="O25" s="51">
        <v>260</v>
      </c>
      <c r="P25" s="51">
        <v>270</v>
      </c>
      <c r="Q25" s="53">
        <v>270</v>
      </c>
      <c r="R25" s="53">
        <v>270</v>
      </c>
      <c r="S25" s="53">
        <v>270</v>
      </c>
      <c r="T25" s="53">
        <v>270</v>
      </c>
      <c r="U25" s="53">
        <v>270</v>
      </c>
      <c r="V25" s="53">
        <v>270</v>
      </c>
      <c r="W25" s="53">
        <v>270</v>
      </c>
      <c r="X25" s="53">
        <v>250</v>
      </c>
      <c r="Y25" s="53">
        <v>230</v>
      </c>
    </row>
    <row r="26" spans="1:25" ht="11.25">
      <c r="A26" s="49"/>
      <c r="B26" s="44" t="s">
        <v>356</v>
      </c>
      <c r="C26" s="45" t="s">
        <v>353</v>
      </c>
      <c r="D26" s="45"/>
      <c r="E26" s="45"/>
      <c r="F26" s="58">
        <v>130</v>
      </c>
      <c r="G26" s="58">
        <v>130</v>
      </c>
      <c r="H26" s="50">
        <v>130</v>
      </c>
      <c r="I26" s="50">
        <v>120</v>
      </c>
      <c r="J26" s="51">
        <v>120</v>
      </c>
      <c r="K26" s="50">
        <v>120</v>
      </c>
      <c r="L26" s="52">
        <v>120</v>
      </c>
      <c r="M26" s="51">
        <v>120</v>
      </c>
      <c r="N26" s="51">
        <v>120</v>
      </c>
      <c r="O26" s="51">
        <v>120</v>
      </c>
      <c r="P26" s="51">
        <v>120</v>
      </c>
      <c r="Q26" s="53">
        <v>120</v>
      </c>
      <c r="R26" s="53">
        <v>120</v>
      </c>
      <c r="S26" s="53">
        <v>120</v>
      </c>
      <c r="T26" s="53">
        <v>120</v>
      </c>
      <c r="U26" s="53">
        <v>120</v>
      </c>
      <c r="V26" s="53">
        <v>120</v>
      </c>
      <c r="W26" s="53">
        <v>120</v>
      </c>
      <c r="X26" s="53">
        <v>110</v>
      </c>
      <c r="Y26" s="53">
        <v>90</v>
      </c>
    </row>
    <row r="27" spans="1:25" ht="10.5">
      <c r="A27" s="49"/>
      <c r="B27" s="44"/>
      <c r="C27" s="45"/>
      <c r="D27" s="45"/>
      <c r="E27" s="45"/>
      <c r="F27" s="50"/>
      <c r="G27" s="50"/>
      <c r="H27" s="50"/>
      <c r="I27" s="50"/>
      <c r="J27" s="51"/>
      <c r="K27" s="50"/>
      <c r="L27" s="52"/>
      <c r="M27" s="51"/>
      <c r="N27" s="51"/>
      <c r="O27" s="51"/>
      <c r="P27" s="51"/>
      <c r="Q27" s="53"/>
      <c r="R27" s="53"/>
      <c r="S27" s="53"/>
      <c r="T27" s="53"/>
      <c r="U27" s="53"/>
      <c r="V27" s="53"/>
      <c r="W27" s="53"/>
      <c r="X27" s="53"/>
      <c r="Y27" s="53"/>
    </row>
    <row r="28" spans="1:25" ht="10.5">
      <c r="A28" s="49" t="s">
        <v>208</v>
      </c>
      <c r="B28" s="44"/>
      <c r="C28" s="45"/>
      <c r="D28" s="45"/>
      <c r="E28" s="45"/>
      <c r="F28" s="50"/>
      <c r="G28" s="50"/>
      <c r="H28" s="50"/>
      <c r="I28" s="50"/>
      <c r="J28" s="51"/>
      <c r="K28" s="50"/>
      <c r="L28" s="52"/>
      <c r="M28" s="51"/>
      <c r="N28" s="51"/>
      <c r="O28" s="51"/>
      <c r="P28" s="51"/>
      <c r="Q28" s="53"/>
      <c r="R28" s="53"/>
      <c r="S28" s="53"/>
      <c r="T28" s="53"/>
      <c r="U28" s="53"/>
      <c r="V28" s="53"/>
      <c r="W28" s="53"/>
      <c r="X28" s="53"/>
      <c r="Y28" s="53"/>
    </row>
    <row r="29" spans="1:25" ht="10.5">
      <c r="A29" s="49"/>
      <c r="B29" s="44" t="s">
        <v>209</v>
      </c>
      <c r="C29" s="59">
        <v>0.062</v>
      </c>
      <c r="D29" s="59"/>
      <c r="E29" s="59"/>
      <c r="F29" s="60"/>
      <c r="G29" s="60"/>
      <c r="H29" s="60"/>
      <c r="I29" s="60"/>
      <c r="J29" s="61"/>
      <c r="K29" s="60"/>
      <c r="L29" s="62"/>
      <c r="M29" s="61"/>
      <c r="N29" s="63" t="s">
        <v>210</v>
      </c>
      <c r="O29" s="61"/>
      <c r="P29" s="61"/>
      <c r="Q29" s="59"/>
      <c r="R29" s="59"/>
      <c r="S29" s="59"/>
      <c r="T29" s="59"/>
      <c r="U29" s="59"/>
      <c r="V29" s="59"/>
      <c r="W29" s="59"/>
      <c r="X29" s="59"/>
      <c r="Y29" s="59"/>
    </row>
    <row r="30" spans="1:25" ht="10.5">
      <c r="A30" s="49"/>
      <c r="B30" s="44" t="s">
        <v>211</v>
      </c>
      <c r="C30" s="59">
        <v>0.064</v>
      </c>
      <c r="D30" s="59"/>
      <c r="E30" s="59"/>
      <c r="F30" s="60"/>
      <c r="G30" s="60"/>
      <c r="H30" s="60"/>
      <c r="I30" s="60"/>
      <c r="J30" s="61"/>
      <c r="K30" s="60"/>
      <c r="L30" s="62"/>
      <c r="M30" s="61"/>
      <c r="N30" s="61"/>
      <c r="O30" s="61"/>
      <c r="P30" s="61"/>
      <c r="Q30" s="59"/>
      <c r="R30" s="59"/>
      <c r="S30" s="59"/>
      <c r="T30" s="59"/>
      <c r="U30" s="59"/>
      <c r="V30" s="59"/>
      <c r="W30" s="59"/>
      <c r="X30" s="59"/>
      <c r="Y30" s="59"/>
    </row>
    <row r="31" spans="1:25" ht="10.5">
      <c r="A31" s="49"/>
      <c r="B31" s="44" t="s">
        <v>212</v>
      </c>
      <c r="C31" s="59">
        <v>0.065</v>
      </c>
      <c r="D31" s="59"/>
      <c r="E31" s="59"/>
      <c r="F31" s="64"/>
      <c r="G31" s="64"/>
      <c r="H31" s="64"/>
      <c r="I31" s="64"/>
      <c r="J31" s="63"/>
      <c r="K31" s="64"/>
      <c r="L31" s="65"/>
      <c r="M31" s="63"/>
      <c r="N31" s="63" t="s">
        <v>213</v>
      </c>
      <c r="O31" s="61"/>
      <c r="P31" s="61"/>
      <c r="Q31" s="59"/>
      <c r="R31" s="59"/>
      <c r="S31" s="59"/>
      <c r="T31" s="59"/>
      <c r="U31" s="59"/>
      <c r="V31" s="59"/>
      <c r="W31" s="59"/>
      <c r="X31" s="59"/>
      <c r="Y31" s="59"/>
    </row>
    <row r="32" spans="1:25" ht="10.5">
      <c r="A32" s="49"/>
      <c r="B32" s="44" t="s">
        <v>214</v>
      </c>
      <c r="C32" s="59">
        <v>0.058</v>
      </c>
      <c r="D32" s="59"/>
      <c r="E32" s="59"/>
      <c r="F32" s="64"/>
      <c r="G32" s="64"/>
      <c r="H32" s="64"/>
      <c r="I32" s="64"/>
      <c r="J32" s="63"/>
      <c r="K32" s="64"/>
      <c r="L32" s="65"/>
      <c r="M32" s="63"/>
      <c r="N32" s="63"/>
      <c r="O32" s="61"/>
      <c r="P32" s="61"/>
      <c r="Q32" s="59"/>
      <c r="R32" s="59"/>
      <c r="S32" s="59"/>
      <c r="T32" s="59"/>
      <c r="U32" s="59"/>
      <c r="V32" s="59"/>
      <c r="W32" s="59"/>
      <c r="X32" s="59"/>
      <c r="Y32" s="59"/>
    </row>
    <row r="33" spans="1:25" ht="10.5">
      <c r="A33" s="49"/>
      <c r="B33" s="44" t="s">
        <v>230</v>
      </c>
      <c r="C33" s="59">
        <v>0.053</v>
      </c>
      <c r="D33" s="59"/>
      <c r="E33" s="59"/>
      <c r="F33" s="64"/>
      <c r="G33" s="64"/>
      <c r="H33" s="64"/>
      <c r="I33" s="64"/>
      <c r="J33" s="63"/>
      <c r="K33" s="64"/>
      <c r="L33" s="62"/>
      <c r="M33" s="61"/>
      <c r="N33" s="61"/>
      <c r="O33" s="61"/>
      <c r="P33" s="61"/>
      <c r="Q33" s="59"/>
      <c r="R33" s="59"/>
      <c r="S33" s="59"/>
      <c r="T33" s="59"/>
      <c r="U33" s="59"/>
      <c r="V33" s="59"/>
      <c r="W33" s="59"/>
      <c r="X33" s="59"/>
      <c r="Y33" s="59"/>
    </row>
    <row r="34" spans="1:25" ht="10.5">
      <c r="A34" s="49"/>
      <c r="B34" s="44" t="s">
        <v>231</v>
      </c>
      <c r="C34" s="59"/>
      <c r="D34" s="59"/>
      <c r="E34" s="59"/>
      <c r="F34" s="60">
        <v>0.0333</v>
      </c>
      <c r="G34" s="60">
        <v>0.0333</v>
      </c>
      <c r="H34" s="60">
        <v>0.0333</v>
      </c>
      <c r="I34" s="60">
        <v>0.0333</v>
      </c>
      <c r="J34" s="61">
        <v>0.0333</v>
      </c>
      <c r="K34" s="60">
        <v>0.0333</v>
      </c>
      <c r="L34" s="62">
        <v>0.0333</v>
      </c>
      <c r="M34" s="61">
        <v>0.0333</v>
      </c>
      <c r="N34" s="61">
        <v>0.033</v>
      </c>
      <c r="O34" s="61"/>
      <c r="P34" s="61">
        <v>0.033</v>
      </c>
      <c r="Q34" s="59"/>
      <c r="R34" s="59"/>
      <c r="S34" s="59">
        <v>0.033</v>
      </c>
      <c r="T34" s="59"/>
      <c r="U34" s="59"/>
      <c r="V34" s="59"/>
      <c r="W34" s="59"/>
      <c r="X34" s="59"/>
      <c r="Y34" s="59"/>
    </row>
    <row r="35" spans="1:25" ht="10.5">
      <c r="A35" s="49"/>
      <c r="B35" s="44" t="s">
        <v>232</v>
      </c>
      <c r="C35" s="59"/>
      <c r="D35" s="59"/>
      <c r="E35" s="59"/>
      <c r="F35" s="60">
        <v>0.003</v>
      </c>
      <c r="G35" s="60">
        <v>0.003</v>
      </c>
      <c r="H35" s="60">
        <v>0.003</v>
      </c>
      <c r="I35" s="60">
        <v>0.003</v>
      </c>
      <c r="J35" s="61">
        <v>0.003</v>
      </c>
      <c r="K35" s="60">
        <v>0.003</v>
      </c>
      <c r="L35" s="62">
        <v>0.003</v>
      </c>
      <c r="M35" s="61">
        <v>0.003</v>
      </c>
      <c r="N35" s="61">
        <v>0.003</v>
      </c>
      <c r="O35" s="61"/>
      <c r="P35" s="61">
        <v>0.003</v>
      </c>
      <c r="Q35" s="59"/>
      <c r="R35" s="59"/>
      <c r="S35" s="59">
        <v>0.003</v>
      </c>
      <c r="T35" s="59"/>
      <c r="U35" s="59"/>
      <c r="V35" s="59"/>
      <c r="W35" s="59"/>
      <c r="X35" s="59"/>
      <c r="Y35" s="59"/>
    </row>
    <row r="36" spans="1:25" ht="10.5">
      <c r="A36" s="49"/>
      <c r="B36" s="44" t="s">
        <v>233</v>
      </c>
      <c r="C36" s="59"/>
      <c r="D36" s="59"/>
      <c r="E36" s="59"/>
      <c r="F36" s="60">
        <v>0.001</v>
      </c>
      <c r="G36" s="60">
        <v>0.001</v>
      </c>
      <c r="H36" s="60">
        <v>0.001</v>
      </c>
      <c r="I36" s="60">
        <v>0.001</v>
      </c>
      <c r="J36" s="61">
        <v>0.001</v>
      </c>
      <c r="K36" s="60">
        <v>0.001</v>
      </c>
      <c r="L36" s="62">
        <v>0.001</v>
      </c>
      <c r="M36" s="61">
        <v>0.0001</v>
      </c>
      <c r="N36" s="61">
        <v>0.001</v>
      </c>
      <c r="O36" s="61"/>
      <c r="P36" s="61">
        <v>0.001</v>
      </c>
      <c r="Q36" s="59"/>
      <c r="R36" s="59"/>
      <c r="S36" s="59">
        <v>0.001</v>
      </c>
      <c r="T36" s="59"/>
      <c r="U36" s="59"/>
      <c r="V36" s="59"/>
      <c r="W36" s="59"/>
      <c r="X36" s="59"/>
      <c r="Y36" s="59"/>
    </row>
    <row r="37" spans="1:25" ht="10.5">
      <c r="A37" s="49"/>
      <c r="B37" s="44" t="s">
        <v>234</v>
      </c>
      <c r="C37" s="59"/>
      <c r="D37" s="59"/>
      <c r="E37" s="59"/>
      <c r="F37" s="60">
        <v>0.035</v>
      </c>
      <c r="G37" s="60">
        <v>0.035</v>
      </c>
      <c r="H37" s="60">
        <v>0.0325</v>
      </c>
      <c r="I37" s="60">
        <v>0.03</v>
      </c>
      <c r="J37" s="61">
        <v>0.03</v>
      </c>
      <c r="K37" s="60">
        <v>0.0325</v>
      </c>
      <c r="L37" s="62"/>
      <c r="M37" s="61"/>
      <c r="N37" s="61"/>
      <c r="O37" s="61"/>
      <c r="P37" s="61"/>
      <c r="Q37" s="59"/>
      <c r="R37" s="59"/>
      <c r="S37" s="59">
        <v>0.0625</v>
      </c>
      <c r="T37" s="59"/>
      <c r="U37" s="59"/>
      <c r="V37" s="59"/>
      <c r="W37" s="59"/>
      <c r="X37" s="59"/>
      <c r="Y37" s="59"/>
    </row>
    <row r="38" spans="1:25" ht="10.5">
      <c r="A38" s="49"/>
      <c r="B38" s="44" t="s">
        <v>235</v>
      </c>
      <c r="C38" s="59"/>
      <c r="D38" s="59"/>
      <c r="E38" s="59"/>
      <c r="F38" s="60">
        <v>0.0181</v>
      </c>
      <c r="G38" s="60">
        <v>0.0181</v>
      </c>
      <c r="H38" s="60">
        <v>0.0168</v>
      </c>
      <c r="I38" s="60">
        <v>0.016</v>
      </c>
      <c r="J38" s="61">
        <v>0.015</v>
      </c>
      <c r="K38" s="60">
        <v>0.0167</v>
      </c>
      <c r="L38" s="62">
        <v>0.021</v>
      </c>
      <c r="M38" s="61">
        <v>0.025</v>
      </c>
      <c r="N38" s="61">
        <v>0.027</v>
      </c>
      <c r="O38" s="61"/>
      <c r="P38" s="61">
        <v>0.024</v>
      </c>
      <c r="Q38" s="59"/>
      <c r="R38" s="59"/>
      <c r="S38" s="59">
        <v>0.037</v>
      </c>
      <c r="T38" s="59"/>
      <c r="U38" s="59"/>
      <c r="V38" s="59"/>
      <c r="W38" s="59"/>
      <c r="X38" s="59"/>
      <c r="Y38" s="59"/>
    </row>
    <row r="39" spans="1:25" ht="10.5">
      <c r="A39" s="49"/>
      <c r="B39" s="44" t="s">
        <v>236</v>
      </c>
      <c r="C39" s="59"/>
      <c r="D39" s="59"/>
      <c r="E39" s="59"/>
      <c r="F39" s="66">
        <f aca="true" t="shared" si="0" ref="F39:K39">F34+F35+F36+F38</f>
        <v>0.055400000000000005</v>
      </c>
      <c r="G39" s="66">
        <f t="shared" si="0"/>
        <v>0.055400000000000005</v>
      </c>
      <c r="H39" s="60">
        <f t="shared" si="0"/>
        <v>0.05410000000000001</v>
      </c>
      <c r="I39" s="60">
        <f t="shared" si="0"/>
        <v>0.05330000000000001</v>
      </c>
      <c r="J39" s="61">
        <f t="shared" si="0"/>
        <v>0.052300000000000006</v>
      </c>
      <c r="K39" s="60">
        <f t="shared" si="0"/>
        <v>0.054000000000000006</v>
      </c>
      <c r="L39" s="62"/>
      <c r="M39" s="60">
        <f>M34+M35+M36+M38</f>
        <v>0.06140000000000001</v>
      </c>
      <c r="N39" s="60">
        <f aca="true" t="shared" si="1" ref="N39:S39">N34+N35+N36+N38</f>
        <v>0.064</v>
      </c>
      <c r="O39" s="60">
        <f t="shared" si="1"/>
        <v>0</v>
      </c>
      <c r="P39" s="60">
        <f t="shared" si="1"/>
        <v>0.061000000000000006</v>
      </c>
      <c r="Q39" s="60">
        <f t="shared" si="1"/>
        <v>0</v>
      </c>
      <c r="R39" s="60">
        <f t="shared" si="1"/>
        <v>0</v>
      </c>
      <c r="S39" s="60">
        <f t="shared" si="1"/>
        <v>0.07400000000000001</v>
      </c>
      <c r="T39" s="59"/>
      <c r="U39" s="59"/>
      <c r="V39" s="59"/>
      <c r="W39" s="59"/>
      <c r="X39" s="59"/>
      <c r="Y39" s="59"/>
    </row>
    <row r="40" spans="1:25" ht="11.25">
      <c r="A40" s="49"/>
      <c r="B40" s="44" t="s">
        <v>237</v>
      </c>
      <c r="C40" s="59" t="s">
        <v>175</v>
      </c>
      <c r="D40" s="59"/>
      <c r="E40" s="59"/>
      <c r="F40" s="67">
        <v>0.055</v>
      </c>
      <c r="G40" s="67">
        <v>0.055</v>
      </c>
      <c r="H40" s="67">
        <v>0.054</v>
      </c>
      <c r="I40" s="67">
        <v>0.053</v>
      </c>
      <c r="J40" s="68">
        <v>0.053</v>
      </c>
      <c r="K40" s="67">
        <v>0.054</v>
      </c>
      <c r="L40" s="62">
        <v>0.058</v>
      </c>
      <c r="M40" s="61">
        <v>0.062</v>
      </c>
      <c r="N40" s="61">
        <v>0.064</v>
      </c>
      <c r="O40" s="61">
        <v>0.064</v>
      </c>
      <c r="P40" s="61">
        <v>0.061</v>
      </c>
      <c r="Q40" s="59">
        <v>0.074</v>
      </c>
      <c r="R40" s="59">
        <v>0.074</v>
      </c>
      <c r="S40" s="59">
        <v>0.074</v>
      </c>
      <c r="T40" s="59">
        <v>0.074</v>
      </c>
      <c r="U40" s="59">
        <v>0.074</v>
      </c>
      <c r="V40" s="59">
        <v>0.074</v>
      </c>
      <c r="W40" s="59">
        <v>0.074</v>
      </c>
      <c r="X40" s="59">
        <v>0.08</v>
      </c>
      <c r="Y40" s="59">
        <v>0.08</v>
      </c>
    </row>
    <row r="41" spans="1:25" ht="10.5">
      <c r="A41" s="49"/>
      <c r="B41" s="44" t="s">
        <v>207</v>
      </c>
      <c r="C41" s="45" t="s">
        <v>353</v>
      </c>
      <c r="D41" s="45"/>
      <c r="E41" s="45"/>
      <c r="F41" s="69">
        <f aca="true" t="shared" si="2" ref="F41:Y41">F25*F40</f>
        <v>15.4</v>
      </c>
      <c r="G41" s="69">
        <f t="shared" si="2"/>
        <v>15.4</v>
      </c>
      <c r="H41" s="50">
        <f t="shared" si="2"/>
        <v>15.12</v>
      </c>
      <c r="I41" s="50">
        <f t="shared" si="2"/>
        <v>13.78</v>
      </c>
      <c r="J41" s="51">
        <f t="shared" si="2"/>
        <v>13.78</v>
      </c>
      <c r="K41" s="50">
        <f t="shared" si="2"/>
        <v>14.04</v>
      </c>
      <c r="L41" s="52">
        <f t="shared" si="2"/>
        <v>15.08</v>
      </c>
      <c r="M41" s="51">
        <f t="shared" si="2"/>
        <v>16.12</v>
      </c>
      <c r="N41" s="51">
        <f t="shared" si="2"/>
        <v>16.64</v>
      </c>
      <c r="O41" s="51">
        <f t="shared" si="2"/>
        <v>16.64</v>
      </c>
      <c r="P41" s="51">
        <f t="shared" si="2"/>
        <v>16.47</v>
      </c>
      <c r="Q41" s="53">
        <f t="shared" si="2"/>
        <v>19.98</v>
      </c>
      <c r="R41" s="53">
        <f t="shared" si="2"/>
        <v>19.98</v>
      </c>
      <c r="S41" s="53">
        <f t="shared" si="2"/>
        <v>19.98</v>
      </c>
      <c r="T41" s="53">
        <f t="shared" si="2"/>
        <v>19.98</v>
      </c>
      <c r="U41" s="53">
        <f t="shared" si="2"/>
        <v>19.98</v>
      </c>
      <c r="V41" s="53">
        <f t="shared" si="2"/>
        <v>19.98</v>
      </c>
      <c r="W41" s="53">
        <f t="shared" si="2"/>
        <v>19.98</v>
      </c>
      <c r="X41" s="53">
        <f t="shared" si="2"/>
        <v>20</v>
      </c>
      <c r="Y41" s="53">
        <f t="shared" si="2"/>
        <v>18.400000000000002</v>
      </c>
    </row>
    <row r="42" spans="1:25" ht="10.5">
      <c r="A42" s="49"/>
      <c r="B42" s="44" t="s">
        <v>356</v>
      </c>
      <c r="C42" s="45" t="s">
        <v>353</v>
      </c>
      <c r="D42" s="45"/>
      <c r="E42" s="45"/>
      <c r="F42" s="69">
        <f>F26*F40</f>
        <v>7.15</v>
      </c>
      <c r="G42" s="69">
        <f>G26*G40</f>
        <v>7.15</v>
      </c>
      <c r="H42" s="50">
        <f>H26*H40</f>
        <v>7.02</v>
      </c>
      <c r="I42" s="50">
        <f aca="true" t="shared" si="3" ref="I42:Y42">I26*I40</f>
        <v>6.359999999999999</v>
      </c>
      <c r="J42" s="51">
        <f t="shared" si="3"/>
        <v>6.359999999999999</v>
      </c>
      <c r="K42" s="50">
        <f t="shared" si="3"/>
        <v>6.4799999999999995</v>
      </c>
      <c r="L42" s="52">
        <f t="shared" si="3"/>
        <v>6.96</v>
      </c>
      <c r="M42" s="51">
        <f t="shared" si="3"/>
        <v>7.4399999999999995</v>
      </c>
      <c r="N42" s="51">
        <f t="shared" si="3"/>
        <v>7.68</v>
      </c>
      <c r="O42" s="51">
        <f t="shared" si="3"/>
        <v>7.68</v>
      </c>
      <c r="P42" s="51">
        <f t="shared" si="3"/>
        <v>7.32</v>
      </c>
      <c r="Q42" s="53">
        <f t="shared" si="3"/>
        <v>8.879999999999999</v>
      </c>
      <c r="R42" s="53">
        <f t="shared" si="3"/>
        <v>8.879999999999999</v>
      </c>
      <c r="S42" s="53">
        <f t="shared" si="3"/>
        <v>8.879999999999999</v>
      </c>
      <c r="T42" s="53">
        <f t="shared" si="3"/>
        <v>8.879999999999999</v>
      </c>
      <c r="U42" s="53">
        <f t="shared" si="3"/>
        <v>8.879999999999999</v>
      </c>
      <c r="V42" s="53">
        <f t="shared" si="3"/>
        <v>8.879999999999999</v>
      </c>
      <c r="W42" s="53">
        <f t="shared" si="3"/>
        <v>8.879999999999999</v>
      </c>
      <c r="X42" s="53">
        <f t="shared" si="3"/>
        <v>8.8</v>
      </c>
      <c r="Y42" s="53">
        <f t="shared" si="3"/>
        <v>7.2</v>
      </c>
    </row>
    <row r="43" spans="1:25" ht="11.25">
      <c r="A43" s="49"/>
      <c r="B43" s="44" t="s">
        <v>238</v>
      </c>
      <c r="C43" s="45" t="s">
        <v>353</v>
      </c>
      <c r="D43" s="45"/>
      <c r="E43" s="45"/>
      <c r="F43" s="70">
        <v>15</v>
      </c>
      <c r="G43" s="70">
        <v>15</v>
      </c>
      <c r="H43" s="58">
        <v>15</v>
      </c>
      <c r="I43" s="58">
        <v>14</v>
      </c>
      <c r="J43" s="71">
        <v>14</v>
      </c>
      <c r="K43" s="72">
        <v>14</v>
      </c>
      <c r="L43" s="73">
        <v>15</v>
      </c>
      <c r="M43" s="74">
        <v>16.5</v>
      </c>
      <c r="N43" s="51">
        <v>16.5</v>
      </c>
      <c r="O43" s="51"/>
      <c r="P43" s="51">
        <v>16.5</v>
      </c>
      <c r="Q43" s="53">
        <v>20</v>
      </c>
      <c r="R43" s="53">
        <v>20</v>
      </c>
      <c r="S43" s="53">
        <v>20</v>
      </c>
      <c r="T43" s="53">
        <v>20</v>
      </c>
      <c r="U43" s="53">
        <v>20</v>
      </c>
      <c r="V43" s="53">
        <v>20</v>
      </c>
      <c r="W43" s="53">
        <v>20</v>
      </c>
      <c r="X43" s="53">
        <v>20</v>
      </c>
      <c r="Y43" s="53">
        <v>18</v>
      </c>
    </row>
    <row r="44" spans="1:25" ht="11.25">
      <c r="A44" s="49"/>
      <c r="B44" s="44" t="s">
        <v>239</v>
      </c>
      <c r="C44" s="45" t="s">
        <v>353</v>
      </c>
      <c r="D44" s="45"/>
      <c r="E44" s="45"/>
      <c r="F44" s="70">
        <v>7</v>
      </c>
      <c r="G44" s="70">
        <v>7</v>
      </c>
      <c r="H44" s="58">
        <v>7</v>
      </c>
      <c r="I44" s="58">
        <v>6.5</v>
      </c>
      <c r="J44" s="71">
        <v>6.5</v>
      </c>
      <c r="K44" s="72">
        <v>6.5</v>
      </c>
      <c r="L44" s="52">
        <v>7</v>
      </c>
      <c r="M44" s="51">
        <v>7.5</v>
      </c>
      <c r="N44" s="51">
        <v>7.5</v>
      </c>
      <c r="O44" s="51">
        <v>7.5</v>
      </c>
      <c r="P44" s="51">
        <v>7.5</v>
      </c>
      <c r="Q44" s="53">
        <v>9</v>
      </c>
      <c r="R44" s="53">
        <v>9</v>
      </c>
      <c r="S44" s="53">
        <v>9</v>
      </c>
      <c r="T44" s="53">
        <v>9</v>
      </c>
      <c r="U44" s="53">
        <v>9</v>
      </c>
      <c r="V44" s="53">
        <v>9</v>
      </c>
      <c r="W44" s="53">
        <v>9</v>
      </c>
      <c r="X44" s="53">
        <v>9</v>
      </c>
      <c r="Y44" s="53">
        <v>7</v>
      </c>
    </row>
    <row r="45" spans="1:25" ht="10.5">
      <c r="A45" s="49"/>
      <c r="B45" s="44"/>
      <c r="C45" s="45"/>
      <c r="D45" s="45"/>
      <c r="E45" s="45"/>
      <c r="F45" s="50"/>
      <c r="G45" s="50"/>
      <c r="H45" s="50"/>
      <c r="I45" s="50"/>
      <c r="J45" s="51"/>
      <c r="K45" s="50"/>
      <c r="L45" s="52"/>
      <c r="M45" s="51"/>
      <c r="N45" s="51"/>
      <c r="O45" s="51"/>
      <c r="P45" s="51"/>
      <c r="Q45" s="53"/>
      <c r="R45" s="53"/>
      <c r="S45" s="53"/>
      <c r="T45" s="53"/>
      <c r="U45" s="53"/>
      <c r="V45" s="53"/>
      <c r="W45" s="53"/>
      <c r="X45" s="53"/>
      <c r="Y45" s="53"/>
    </row>
    <row r="46" spans="1:25" ht="10.5">
      <c r="A46" s="49"/>
      <c r="B46" s="44"/>
      <c r="C46" s="45"/>
      <c r="D46" s="45"/>
      <c r="E46" s="45"/>
      <c r="F46" s="46"/>
      <c r="G46" s="46"/>
      <c r="H46" s="46"/>
      <c r="I46" s="46"/>
      <c r="J46" s="47"/>
      <c r="K46" s="46"/>
      <c r="L46" s="48"/>
      <c r="M46" s="47"/>
      <c r="N46" s="47"/>
      <c r="O46" s="47"/>
      <c r="P46" s="47"/>
      <c r="Q46" s="45"/>
      <c r="R46" s="45"/>
      <c r="S46" s="45"/>
      <c r="T46" s="45"/>
      <c r="U46" s="45"/>
      <c r="V46" s="45"/>
      <c r="W46" s="45"/>
      <c r="X46" s="45"/>
      <c r="Y46" s="45"/>
    </row>
    <row r="47" spans="1:25" ht="11.25">
      <c r="A47" s="43" t="s">
        <v>240</v>
      </c>
      <c r="B47" s="44"/>
      <c r="C47" s="45"/>
      <c r="D47" s="45"/>
      <c r="E47" s="45"/>
      <c r="F47" s="46"/>
      <c r="G47" s="46"/>
      <c r="H47" s="46"/>
      <c r="I47" s="46"/>
      <c r="J47" s="47"/>
      <c r="K47" s="46"/>
      <c r="L47" s="48"/>
      <c r="M47" s="47"/>
      <c r="N47" s="47"/>
      <c r="O47" s="47"/>
      <c r="P47" s="47"/>
      <c r="Q47" s="45"/>
      <c r="R47" s="45"/>
      <c r="S47" s="45"/>
      <c r="T47" s="45"/>
      <c r="U47" s="45"/>
      <c r="V47" s="45"/>
      <c r="W47" s="45"/>
      <c r="X47" s="45"/>
      <c r="Y47" s="45"/>
    </row>
    <row r="48" spans="1:25" ht="11.25">
      <c r="A48" s="43" t="s">
        <v>241</v>
      </c>
      <c r="B48" s="44"/>
      <c r="C48" s="45"/>
      <c r="D48" s="45"/>
      <c r="E48" s="45"/>
      <c r="F48" s="46"/>
      <c r="G48" s="46"/>
      <c r="H48" s="46"/>
      <c r="I48" s="46"/>
      <c r="J48" s="47"/>
      <c r="K48" s="46"/>
      <c r="L48" s="48"/>
      <c r="M48" s="47"/>
      <c r="N48" s="47"/>
      <c r="O48" s="47"/>
      <c r="P48" s="47"/>
      <c r="Q48" s="45"/>
      <c r="R48" s="45"/>
      <c r="S48" s="45"/>
      <c r="T48" s="45"/>
      <c r="U48" s="45"/>
      <c r="V48" s="45"/>
      <c r="W48" s="45"/>
      <c r="X48" s="45"/>
      <c r="Y48" s="45"/>
    </row>
    <row r="49" spans="1:25" ht="10.5">
      <c r="A49" s="49"/>
      <c r="B49" s="44" t="s">
        <v>242</v>
      </c>
      <c r="C49" s="45" t="s">
        <v>173</v>
      </c>
      <c r="D49" s="45"/>
      <c r="E49" s="45"/>
      <c r="F49" s="46">
        <v>682</v>
      </c>
      <c r="G49" s="46">
        <v>682</v>
      </c>
      <c r="H49" s="46">
        <v>682</v>
      </c>
      <c r="I49" s="46">
        <v>682</v>
      </c>
      <c r="J49" s="47">
        <v>497</v>
      </c>
      <c r="K49" s="46">
        <v>497</v>
      </c>
      <c r="L49" s="48">
        <v>497</v>
      </c>
      <c r="M49" s="47">
        <v>497</v>
      </c>
      <c r="N49" s="47">
        <v>497</v>
      </c>
      <c r="O49" s="47">
        <v>497</v>
      </c>
      <c r="P49" s="47">
        <v>497</v>
      </c>
      <c r="Q49" s="45">
        <v>497</v>
      </c>
      <c r="R49" s="45">
        <v>497</v>
      </c>
      <c r="S49" s="45">
        <v>497</v>
      </c>
      <c r="T49" s="45">
        <v>497</v>
      </c>
      <c r="U49" s="45">
        <v>497</v>
      </c>
      <c r="V49" s="45">
        <v>497</v>
      </c>
      <c r="W49" s="45">
        <v>497</v>
      </c>
      <c r="X49" s="45">
        <v>369</v>
      </c>
      <c r="Y49" s="45">
        <v>369</v>
      </c>
    </row>
    <row r="50" spans="1:25" ht="10.5">
      <c r="A50" s="49"/>
      <c r="B50" s="44" t="s">
        <v>243</v>
      </c>
      <c r="C50" s="45" t="s">
        <v>173</v>
      </c>
      <c r="D50" s="45"/>
      <c r="E50" s="45"/>
      <c r="F50" s="46">
        <v>112</v>
      </c>
      <c r="G50" s="46">
        <v>112</v>
      </c>
      <c r="H50" s="46">
        <v>112</v>
      </c>
      <c r="I50" s="46">
        <v>112</v>
      </c>
      <c r="J50" s="47">
        <v>112</v>
      </c>
      <c r="K50" s="46">
        <v>112</v>
      </c>
      <c r="L50" s="48">
        <v>112</v>
      </c>
      <c r="M50" s="47">
        <v>112</v>
      </c>
      <c r="N50" s="47">
        <v>112</v>
      </c>
      <c r="O50" s="47">
        <v>112</v>
      </c>
      <c r="P50" s="47">
        <v>112</v>
      </c>
      <c r="Q50" s="45">
        <v>112</v>
      </c>
      <c r="R50" s="45">
        <v>112</v>
      </c>
      <c r="S50" s="45">
        <v>112</v>
      </c>
      <c r="T50" s="45">
        <v>112</v>
      </c>
      <c r="U50" s="45">
        <v>112</v>
      </c>
      <c r="V50" s="45">
        <v>112</v>
      </c>
      <c r="W50" s="45">
        <v>112</v>
      </c>
      <c r="X50" s="45">
        <v>90</v>
      </c>
      <c r="Y50" s="45">
        <v>90</v>
      </c>
    </row>
    <row r="51" spans="1:25" ht="10.5">
      <c r="A51" s="49"/>
      <c r="B51" s="44" t="s">
        <v>244</v>
      </c>
      <c r="C51" s="45" t="s">
        <v>173</v>
      </c>
      <c r="D51" s="45"/>
      <c r="E51" s="45"/>
      <c r="F51" s="46">
        <v>682</v>
      </c>
      <c r="G51" s="46">
        <v>682</v>
      </c>
      <c r="H51" s="46">
        <v>682</v>
      </c>
      <c r="I51" s="46">
        <v>682</v>
      </c>
      <c r="J51" s="47">
        <v>497</v>
      </c>
      <c r="K51" s="46">
        <v>497</v>
      </c>
      <c r="L51" s="48">
        <v>497</v>
      </c>
      <c r="M51" s="47">
        <v>497</v>
      </c>
      <c r="N51" s="47">
        <v>497</v>
      </c>
      <c r="O51" s="47">
        <v>497</v>
      </c>
      <c r="P51" s="47">
        <v>497</v>
      </c>
      <c r="Q51" s="45">
        <v>497</v>
      </c>
      <c r="R51" s="45">
        <v>497</v>
      </c>
      <c r="S51" s="45">
        <v>497</v>
      </c>
      <c r="T51" s="45">
        <v>497</v>
      </c>
      <c r="U51" s="45">
        <v>497</v>
      </c>
      <c r="V51" s="45">
        <v>497</v>
      </c>
      <c r="W51" s="45">
        <v>497</v>
      </c>
      <c r="X51" s="45">
        <v>369</v>
      </c>
      <c r="Y51" s="45">
        <v>369</v>
      </c>
    </row>
    <row r="52" spans="1:25" ht="10.5">
      <c r="A52" s="49"/>
      <c r="B52" s="44" t="s">
        <v>441</v>
      </c>
      <c r="C52" s="45" t="s">
        <v>173</v>
      </c>
      <c r="D52" s="45"/>
      <c r="E52" s="45"/>
      <c r="F52" s="46">
        <v>528</v>
      </c>
      <c r="G52" s="46">
        <v>528</v>
      </c>
      <c r="H52" s="46">
        <v>528</v>
      </c>
      <c r="I52" s="46">
        <v>528</v>
      </c>
      <c r="J52" s="47">
        <v>528</v>
      </c>
      <c r="K52" s="46">
        <v>528</v>
      </c>
      <c r="L52" s="48">
        <v>528</v>
      </c>
      <c r="M52" s="47">
        <v>528</v>
      </c>
      <c r="N52" s="47"/>
      <c r="O52" s="47"/>
      <c r="P52" s="47"/>
      <c r="Q52" s="45"/>
      <c r="R52" s="45"/>
      <c r="S52" s="45"/>
      <c r="T52" s="45"/>
      <c r="U52" s="45"/>
      <c r="V52" s="45"/>
      <c r="W52" s="45"/>
      <c r="X52" s="45"/>
      <c r="Y52" s="45"/>
    </row>
    <row r="53" spans="1:25" ht="10.5">
      <c r="A53" s="49"/>
      <c r="B53" s="44" t="s">
        <v>245</v>
      </c>
      <c r="C53" s="45" t="s">
        <v>173</v>
      </c>
      <c r="D53" s="45"/>
      <c r="E53" s="45"/>
      <c r="F53" s="46">
        <v>1105</v>
      </c>
      <c r="G53" s="46">
        <v>1105</v>
      </c>
      <c r="H53" s="46">
        <v>1105</v>
      </c>
      <c r="I53" s="46">
        <v>1105</v>
      </c>
      <c r="J53" s="47">
        <v>1105</v>
      </c>
      <c r="K53" s="46">
        <v>1105</v>
      </c>
      <c r="L53" s="48">
        <v>1105</v>
      </c>
      <c r="M53" s="47">
        <v>1105</v>
      </c>
      <c r="N53" s="47">
        <v>1105</v>
      </c>
      <c r="O53" s="47">
        <v>1105</v>
      </c>
      <c r="P53" s="47">
        <v>1105</v>
      </c>
      <c r="Q53" s="45">
        <v>1105</v>
      </c>
      <c r="R53" s="45">
        <v>1105</v>
      </c>
      <c r="S53" s="45">
        <v>1105</v>
      </c>
      <c r="T53" s="45"/>
      <c r="U53" s="45"/>
      <c r="V53" s="45"/>
      <c r="W53" s="45"/>
      <c r="X53" s="45"/>
      <c r="Y53" s="45"/>
    </row>
    <row r="54" spans="1:25" ht="10.5">
      <c r="A54" s="49"/>
      <c r="B54" s="44" t="s">
        <v>246</v>
      </c>
      <c r="C54" s="45" t="s">
        <v>173</v>
      </c>
      <c r="D54" s="45"/>
      <c r="E54" s="45"/>
      <c r="F54" s="46">
        <v>1308</v>
      </c>
      <c r="G54" s="46">
        <v>1308</v>
      </c>
      <c r="H54" s="46">
        <v>1308</v>
      </c>
      <c r="I54" s="46">
        <v>1308</v>
      </c>
      <c r="J54" s="47">
        <v>1308</v>
      </c>
      <c r="K54" s="46">
        <v>1308</v>
      </c>
      <c r="L54" s="48">
        <v>1308</v>
      </c>
      <c r="M54" s="47">
        <v>1308</v>
      </c>
      <c r="N54" s="47">
        <v>1308</v>
      </c>
      <c r="O54" s="47">
        <v>1308</v>
      </c>
      <c r="P54" s="47">
        <v>1308</v>
      </c>
      <c r="Q54" s="45">
        <v>1308</v>
      </c>
      <c r="R54" s="45">
        <v>1308</v>
      </c>
      <c r="S54" s="45">
        <v>1308</v>
      </c>
      <c r="T54" s="45"/>
      <c r="U54" s="45"/>
      <c r="V54" s="45"/>
      <c r="W54" s="45"/>
      <c r="X54" s="45"/>
      <c r="Y54" s="45"/>
    </row>
    <row r="55" spans="1:25" ht="10.5">
      <c r="A55" s="49"/>
      <c r="B55" s="44" t="s">
        <v>362</v>
      </c>
      <c r="C55" s="45" t="s">
        <v>173</v>
      </c>
      <c r="D55" s="45"/>
      <c r="E55" s="45"/>
      <c r="F55" s="46">
        <v>401</v>
      </c>
      <c r="G55" s="46">
        <v>401</v>
      </c>
      <c r="H55" s="46">
        <v>401</v>
      </c>
      <c r="I55" s="46">
        <v>401</v>
      </c>
      <c r="J55" s="47">
        <v>401</v>
      </c>
      <c r="K55" s="46">
        <v>401</v>
      </c>
      <c r="L55" s="48">
        <v>401</v>
      </c>
      <c r="M55" s="47">
        <v>401</v>
      </c>
      <c r="N55" s="47">
        <v>401</v>
      </c>
      <c r="O55" s="47">
        <v>401</v>
      </c>
      <c r="P55" s="47">
        <v>401</v>
      </c>
      <c r="Q55" s="45">
        <v>401</v>
      </c>
      <c r="R55" s="45">
        <v>401</v>
      </c>
      <c r="S55" s="45">
        <v>401</v>
      </c>
      <c r="T55" s="45">
        <v>401</v>
      </c>
      <c r="U55" s="45">
        <v>401</v>
      </c>
      <c r="V55" s="45">
        <v>401</v>
      </c>
      <c r="W55" s="45">
        <v>401</v>
      </c>
      <c r="X55" s="45">
        <v>227</v>
      </c>
      <c r="Y55" s="45">
        <v>227</v>
      </c>
    </row>
    <row r="56" spans="1:25" ht="10.5">
      <c r="A56" s="49"/>
      <c r="B56" s="44" t="s">
        <v>247</v>
      </c>
      <c r="C56" s="45"/>
      <c r="D56" s="45"/>
      <c r="E56" s="45"/>
      <c r="F56" s="46"/>
      <c r="G56" s="46"/>
      <c r="H56" s="46"/>
      <c r="I56" s="46"/>
      <c r="J56" s="47"/>
      <c r="K56" s="46"/>
      <c r="L56" s="48"/>
      <c r="M56" s="47"/>
      <c r="N56" s="47"/>
      <c r="O56" s="47"/>
      <c r="P56" s="47"/>
      <c r="Q56" s="45"/>
      <c r="R56" s="45"/>
      <c r="S56" s="45"/>
      <c r="T56" s="45"/>
      <c r="U56" s="45"/>
      <c r="V56" s="45"/>
      <c r="W56" s="45"/>
      <c r="X56" s="45"/>
      <c r="Y56" s="45"/>
    </row>
    <row r="57" spans="1:25" ht="10.5">
      <c r="A57" s="49"/>
      <c r="B57" s="44" t="s">
        <v>248</v>
      </c>
      <c r="C57" s="45" t="s">
        <v>173</v>
      </c>
      <c r="D57" s="45"/>
      <c r="E57" s="45"/>
      <c r="F57" s="46">
        <v>72</v>
      </c>
      <c r="G57" s="46">
        <v>72</v>
      </c>
      <c r="H57" s="46">
        <v>72</v>
      </c>
      <c r="I57" s="46">
        <v>72</v>
      </c>
      <c r="J57" s="47">
        <v>72</v>
      </c>
      <c r="K57" s="46">
        <v>72</v>
      </c>
      <c r="L57" s="48">
        <v>72</v>
      </c>
      <c r="M57" s="47">
        <v>72</v>
      </c>
      <c r="N57" s="47">
        <v>72</v>
      </c>
      <c r="O57" s="47">
        <v>72</v>
      </c>
      <c r="P57" s="47">
        <v>72</v>
      </c>
      <c r="Q57" s="45">
        <v>72</v>
      </c>
      <c r="R57" s="45">
        <v>72</v>
      </c>
      <c r="S57" s="45">
        <v>72</v>
      </c>
      <c r="T57" s="45">
        <v>72</v>
      </c>
      <c r="U57" s="45">
        <v>72</v>
      </c>
      <c r="V57" s="45">
        <v>72</v>
      </c>
      <c r="W57" s="45">
        <v>72</v>
      </c>
      <c r="X57" s="45">
        <v>72</v>
      </c>
      <c r="Y57" s="45">
        <v>72</v>
      </c>
    </row>
    <row r="58" spans="1:25" ht="10.5">
      <c r="A58" s="49"/>
      <c r="B58" s="44" t="s">
        <v>433</v>
      </c>
      <c r="C58" s="45" t="s">
        <v>173</v>
      </c>
      <c r="D58" s="45"/>
      <c r="E58" s="45"/>
      <c r="F58" s="46">
        <v>306</v>
      </c>
      <c r="G58" s="46">
        <v>306</v>
      </c>
      <c r="H58" s="46">
        <v>306</v>
      </c>
      <c r="I58" s="46">
        <v>306</v>
      </c>
      <c r="J58" s="47">
        <v>306</v>
      </c>
      <c r="K58" s="46">
        <v>306</v>
      </c>
      <c r="L58" s="48">
        <v>306</v>
      </c>
      <c r="M58" s="47">
        <v>306</v>
      </c>
      <c r="N58" s="47">
        <v>306</v>
      </c>
      <c r="O58" s="47">
        <v>306</v>
      </c>
      <c r="P58" s="47">
        <v>306</v>
      </c>
      <c r="Q58" s="45">
        <v>306</v>
      </c>
      <c r="R58" s="45">
        <v>306</v>
      </c>
      <c r="S58" s="45">
        <v>306</v>
      </c>
      <c r="T58" s="45">
        <v>306</v>
      </c>
      <c r="U58" s="45">
        <v>306</v>
      </c>
      <c r="V58" s="45">
        <v>306</v>
      </c>
      <c r="W58" s="45">
        <v>306</v>
      </c>
      <c r="X58" s="45">
        <v>258</v>
      </c>
      <c r="Y58" s="45">
        <v>258</v>
      </c>
    </row>
    <row r="59" spans="1:25" ht="10.5">
      <c r="A59" s="49"/>
      <c r="B59" s="44" t="s">
        <v>363</v>
      </c>
      <c r="C59" s="45" t="s">
        <v>173</v>
      </c>
      <c r="D59" s="45"/>
      <c r="E59" s="45"/>
      <c r="F59" s="46">
        <v>10</v>
      </c>
      <c r="G59" s="46">
        <v>10</v>
      </c>
      <c r="H59" s="46">
        <v>10</v>
      </c>
      <c r="I59" s="46">
        <v>10</v>
      </c>
      <c r="J59" s="47">
        <v>10</v>
      </c>
      <c r="K59" s="46">
        <v>10</v>
      </c>
      <c r="L59" s="48">
        <v>10</v>
      </c>
      <c r="M59" s="47">
        <v>10</v>
      </c>
      <c r="N59" s="47">
        <v>10</v>
      </c>
      <c r="O59" s="47">
        <v>10</v>
      </c>
      <c r="P59" s="47">
        <v>10</v>
      </c>
      <c r="Q59" s="45">
        <v>10</v>
      </c>
      <c r="R59" s="45">
        <v>10</v>
      </c>
      <c r="S59" s="45">
        <v>10</v>
      </c>
      <c r="T59" s="45">
        <v>10</v>
      </c>
      <c r="U59" s="45">
        <v>10</v>
      </c>
      <c r="V59" s="45">
        <v>10</v>
      </c>
      <c r="W59" s="45">
        <v>10</v>
      </c>
      <c r="X59" s="45">
        <v>10</v>
      </c>
      <c r="Y59" s="45">
        <v>10</v>
      </c>
    </row>
    <row r="60" spans="1:25" ht="10.5">
      <c r="A60" s="49"/>
      <c r="B60" s="44" t="s">
        <v>386</v>
      </c>
      <c r="C60" s="45" t="s">
        <v>173</v>
      </c>
      <c r="D60" s="45"/>
      <c r="E60" s="45"/>
      <c r="F60" s="46">
        <v>100</v>
      </c>
      <c r="G60" s="46">
        <v>100</v>
      </c>
      <c r="H60" s="46">
        <v>100</v>
      </c>
      <c r="I60" s="46">
        <v>100</v>
      </c>
      <c r="J60" s="47">
        <v>100</v>
      </c>
      <c r="K60" s="46">
        <v>100</v>
      </c>
      <c r="L60" s="48">
        <v>100</v>
      </c>
      <c r="M60" s="47">
        <v>100</v>
      </c>
      <c r="N60" s="47">
        <v>100</v>
      </c>
      <c r="O60" s="47">
        <v>100</v>
      </c>
      <c r="P60" s="47">
        <v>100</v>
      </c>
      <c r="Q60" s="45"/>
      <c r="R60" s="45"/>
      <c r="S60" s="45"/>
      <c r="T60" s="45"/>
      <c r="U60" s="45"/>
      <c r="V60" s="45"/>
      <c r="W60" s="45"/>
      <c r="X60" s="45"/>
      <c r="Y60" s="45"/>
    </row>
    <row r="61" spans="1:25" ht="10.5">
      <c r="A61" s="49"/>
      <c r="B61" s="44"/>
      <c r="C61" s="45"/>
      <c r="D61" s="45"/>
      <c r="E61" s="45"/>
      <c r="F61" s="46"/>
      <c r="G61" s="46"/>
      <c r="H61" s="46"/>
      <c r="I61" s="46"/>
      <c r="J61" s="47"/>
      <c r="K61" s="46"/>
      <c r="L61" s="48"/>
      <c r="M61" s="47"/>
      <c r="N61" s="47"/>
      <c r="O61" s="47"/>
      <c r="P61" s="47"/>
      <c r="Q61" s="45"/>
      <c r="R61" s="45"/>
      <c r="S61" s="45"/>
      <c r="T61" s="45"/>
      <c r="U61" s="45"/>
      <c r="V61" s="45"/>
      <c r="W61" s="45"/>
      <c r="X61" s="45"/>
      <c r="Y61" s="45"/>
    </row>
    <row r="62" spans="1:25" ht="11.25">
      <c r="A62" s="43" t="s">
        <v>249</v>
      </c>
      <c r="B62" s="44"/>
      <c r="C62" s="45"/>
      <c r="D62" s="45"/>
      <c r="E62" s="45"/>
      <c r="F62" s="46"/>
      <c r="G62" s="46"/>
      <c r="H62" s="46"/>
      <c r="I62" s="46"/>
      <c r="J62" s="47"/>
      <c r="K62" s="46"/>
      <c r="L62" s="48"/>
      <c r="M62" s="47"/>
      <c r="N62" s="47"/>
      <c r="O62" s="47"/>
      <c r="P62" s="47"/>
      <c r="Q62" s="45"/>
      <c r="R62" s="45"/>
      <c r="S62" s="45"/>
      <c r="T62" s="45"/>
      <c r="U62" s="45"/>
      <c r="V62" s="45"/>
      <c r="W62" s="45"/>
      <c r="X62" s="45"/>
      <c r="Y62" s="45"/>
    </row>
    <row r="63" spans="1:25" ht="10.5">
      <c r="A63" s="49"/>
      <c r="B63" s="44" t="s">
        <v>250</v>
      </c>
      <c r="C63" s="45"/>
      <c r="D63" s="45"/>
      <c r="E63" s="45"/>
      <c r="F63" s="46"/>
      <c r="G63" s="46"/>
      <c r="H63" s="46"/>
      <c r="I63" s="46"/>
      <c r="J63" s="47"/>
      <c r="K63" s="46"/>
      <c r="L63" s="48"/>
      <c r="M63" s="47"/>
      <c r="N63" s="47"/>
      <c r="O63" s="47"/>
      <c r="P63" s="47"/>
      <c r="Q63" s="45"/>
      <c r="R63" s="45"/>
      <c r="S63" s="45"/>
      <c r="T63" s="45"/>
      <c r="U63" s="45"/>
      <c r="V63" s="45"/>
      <c r="W63" s="45"/>
      <c r="X63" s="45"/>
      <c r="Y63" s="45"/>
    </row>
    <row r="64" spans="1:25" ht="11.25">
      <c r="A64" s="49"/>
      <c r="B64" s="44" t="s">
        <v>251</v>
      </c>
      <c r="C64" s="45" t="s">
        <v>372</v>
      </c>
      <c r="D64" s="45"/>
      <c r="E64" s="45"/>
      <c r="F64" s="75">
        <v>350</v>
      </c>
      <c r="G64" s="75">
        <v>350</v>
      </c>
      <c r="H64" s="75">
        <v>350</v>
      </c>
      <c r="I64" s="75">
        <v>350</v>
      </c>
      <c r="J64" s="47">
        <v>360</v>
      </c>
      <c r="K64" s="46">
        <v>360</v>
      </c>
      <c r="L64" s="48">
        <v>360</v>
      </c>
      <c r="M64" s="47">
        <v>360</v>
      </c>
      <c r="N64" s="47">
        <v>360</v>
      </c>
      <c r="O64" s="47">
        <v>360</v>
      </c>
      <c r="P64" s="47">
        <v>360</v>
      </c>
      <c r="Q64" s="45">
        <v>360</v>
      </c>
      <c r="R64" s="45">
        <v>360</v>
      </c>
      <c r="S64" s="45">
        <v>360</v>
      </c>
      <c r="T64" s="45">
        <v>360</v>
      </c>
      <c r="U64" s="45">
        <v>360</v>
      </c>
      <c r="V64" s="45">
        <v>360</v>
      </c>
      <c r="W64" s="45">
        <v>360</v>
      </c>
      <c r="X64" s="45">
        <v>360</v>
      </c>
      <c r="Y64" s="45">
        <v>370</v>
      </c>
    </row>
    <row r="65" spans="1:25" ht="11.25">
      <c r="A65" s="49"/>
      <c r="B65" s="44" t="s">
        <v>437</v>
      </c>
      <c r="C65" s="45" t="s">
        <v>372</v>
      </c>
      <c r="D65" s="45"/>
      <c r="E65" s="45"/>
      <c r="F65" s="75">
        <v>750</v>
      </c>
      <c r="G65" s="75">
        <v>750</v>
      </c>
      <c r="H65" s="75">
        <v>750</v>
      </c>
      <c r="I65" s="75">
        <v>750</v>
      </c>
      <c r="J65" s="47">
        <v>720</v>
      </c>
      <c r="K65" s="46">
        <v>720</v>
      </c>
      <c r="L65" s="48">
        <v>720</v>
      </c>
      <c r="M65" s="47">
        <v>900</v>
      </c>
      <c r="N65" s="47">
        <v>900</v>
      </c>
      <c r="O65" s="47">
        <v>900</v>
      </c>
      <c r="P65" s="47">
        <v>900</v>
      </c>
      <c r="Q65" s="45">
        <v>900</v>
      </c>
      <c r="R65" s="45">
        <v>900</v>
      </c>
      <c r="S65" s="45">
        <v>900</v>
      </c>
      <c r="T65" s="45">
        <v>900</v>
      </c>
      <c r="U65" s="45">
        <v>900</v>
      </c>
      <c r="V65" s="45">
        <v>900</v>
      </c>
      <c r="W65" s="45">
        <v>900</v>
      </c>
      <c r="X65" s="45">
        <v>900</v>
      </c>
      <c r="Y65" s="45">
        <v>900</v>
      </c>
    </row>
    <row r="66" spans="1:25" ht="11.25">
      <c r="A66" s="49"/>
      <c r="B66" s="44" t="s">
        <v>438</v>
      </c>
      <c r="C66" s="45" t="s">
        <v>372</v>
      </c>
      <c r="D66" s="45"/>
      <c r="E66" s="45"/>
      <c r="F66" s="75">
        <v>130</v>
      </c>
      <c r="G66" s="75">
        <v>130</v>
      </c>
      <c r="H66" s="75">
        <v>130</v>
      </c>
      <c r="I66" s="75">
        <v>130</v>
      </c>
      <c r="J66" s="47">
        <v>150</v>
      </c>
      <c r="K66" s="46">
        <v>150</v>
      </c>
      <c r="L66" s="48">
        <v>150</v>
      </c>
      <c r="M66" s="47">
        <v>150</v>
      </c>
      <c r="N66" s="47">
        <v>150</v>
      </c>
      <c r="O66" s="47">
        <v>150</v>
      </c>
      <c r="P66" s="47">
        <v>150</v>
      </c>
      <c r="Q66" s="45">
        <v>150</v>
      </c>
      <c r="R66" s="45">
        <v>150</v>
      </c>
      <c r="S66" s="45">
        <v>150</v>
      </c>
      <c r="T66" s="45">
        <v>150</v>
      </c>
      <c r="U66" s="45">
        <v>150</v>
      </c>
      <c r="V66" s="45">
        <v>150</v>
      </c>
      <c r="W66" s="45">
        <v>150</v>
      </c>
      <c r="X66" s="45">
        <v>150</v>
      </c>
      <c r="Y66" s="45">
        <v>150</v>
      </c>
    </row>
    <row r="67" spans="1:25" ht="10.5">
      <c r="A67" s="49"/>
      <c r="B67" s="44"/>
      <c r="C67" s="45"/>
      <c r="D67" s="45"/>
      <c r="E67" s="45"/>
      <c r="F67" s="46"/>
      <c r="G67" s="46"/>
      <c r="H67" s="46"/>
      <c r="I67" s="46"/>
      <c r="J67" s="47"/>
      <c r="K67" s="46"/>
      <c r="L67" s="48"/>
      <c r="M67" s="47"/>
      <c r="N67" s="47"/>
      <c r="O67" s="47"/>
      <c r="P67" s="47"/>
      <c r="Q67" s="45"/>
      <c r="R67" s="45"/>
      <c r="S67" s="45"/>
      <c r="T67" s="45"/>
      <c r="U67" s="45"/>
      <c r="V67" s="45"/>
      <c r="W67" s="45"/>
      <c r="X67" s="45"/>
      <c r="Y67" s="45"/>
    </row>
    <row r="68" spans="1:25" ht="10.5">
      <c r="A68" s="49"/>
      <c r="B68" s="44" t="s">
        <v>252</v>
      </c>
      <c r="C68" s="45"/>
      <c r="D68" s="45">
        <v>1.076</v>
      </c>
      <c r="E68" s="45"/>
      <c r="F68" s="46"/>
      <c r="G68" s="46"/>
      <c r="H68" s="46"/>
      <c r="I68" s="46"/>
      <c r="J68" s="47"/>
      <c r="K68" s="46"/>
      <c r="L68" s="48"/>
      <c r="M68" s="47"/>
      <c r="N68" s="47"/>
      <c r="O68" s="47"/>
      <c r="P68" s="47"/>
      <c r="Q68" s="45"/>
      <c r="R68" s="45"/>
      <c r="S68" s="45"/>
      <c r="T68" s="45"/>
      <c r="U68" s="45"/>
      <c r="V68" s="45"/>
      <c r="W68" s="45"/>
      <c r="X68" s="45"/>
      <c r="Y68" s="45"/>
    </row>
    <row r="69" spans="1:25" ht="11.25">
      <c r="A69" s="49"/>
      <c r="B69" s="44" t="s">
        <v>251</v>
      </c>
      <c r="C69" s="45" t="s">
        <v>394</v>
      </c>
      <c r="D69" s="53">
        <v>5.25</v>
      </c>
      <c r="E69" s="58"/>
      <c r="F69" s="58">
        <v>4.14</v>
      </c>
      <c r="G69" s="58">
        <v>4.6</v>
      </c>
      <c r="H69" s="58">
        <v>4.4</v>
      </c>
      <c r="I69" s="58">
        <v>4.04</v>
      </c>
      <c r="J69" s="71">
        <f>D$68*D69</f>
        <v>5.649</v>
      </c>
      <c r="K69" s="72">
        <v>4.8</v>
      </c>
      <c r="L69" s="73">
        <v>5.05</v>
      </c>
      <c r="M69" s="74">
        <v>4.65</v>
      </c>
      <c r="N69" s="74">
        <v>5.1</v>
      </c>
      <c r="O69" s="74">
        <v>5</v>
      </c>
      <c r="P69" s="74">
        <v>4.35</v>
      </c>
      <c r="Q69" s="53">
        <v>4.35</v>
      </c>
      <c r="R69" s="53">
        <v>4.65</v>
      </c>
      <c r="S69" s="53">
        <v>3.5</v>
      </c>
      <c r="T69" s="53">
        <v>4.65</v>
      </c>
      <c r="U69" s="53">
        <v>4.1</v>
      </c>
      <c r="V69" s="53">
        <v>4.42</v>
      </c>
      <c r="W69" s="53">
        <v>4.48</v>
      </c>
      <c r="X69" s="53">
        <v>3.9</v>
      </c>
      <c r="Y69" s="53">
        <v>4.4</v>
      </c>
    </row>
    <row r="70" spans="1:25" ht="11.25">
      <c r="A70" s="49"/>
      <c r="B70" s="44" t="s">
        <v>437</v>
      </c>
      <c r="C70" s="45" t="s">
        <v>394</v>
      </c>
      <c r="D70" s="53">
        <v>5.55</v>
      </c>
      <c r="E70" s="58"/>
      <c r="F70" s="58">
        <v>4.04</v>
      </c>
      <c r="G70" s="58">
        <v>4.6</v>
      </c>
      <c r="H70" s="58">
        <v>4.6</v>
      </c>
      <c r="I70" s="58">
        <v>4.2</v>
      </c>
      <c r="J70" s="71">
        <v>6</v>
      </c>
      <c r="K70" s="72">
        <v>5.1</v>
      </c>
      <c r="L70" s="73">
        <v>5.4</v>
      </c>
      <c r="M70" s="74">
        <v>5.15</v>
      </c>
      <c r="N70" s="74">
        <v>5.65</v>
      </c>
      <c r="O70" s="74">
        <v>5.55</v>
      </c>
      <c r="P70" s="74">
        <v>4.9</v>
      </c>
      <c r="Q70" s="53">
        <v>4.9</v>
      </c>
      <c r="R70" s="53">
        <v>5.2</v>
      </c>
      <c r="S70" s="53">
        <v>3.7</v>
      </c>
      <c r="T70" s="53">
        <v>4.85</v>
      </c>
      <c r="U70" s="53">
        <v>5.2</v>
      </c>
      <c r="V70" s="53">
        <v>5.07</v>
      </c>
      <c r="W70" s="53">
        <v>5.6</v>
      </c>
      <c r="X70" s="53">
        <v>4.85</v>
      </c>
      <c r="Y70" s="53">
        <v>5.45</v>
      </c>
    </row>
    <row r="71" spans="1:25" ht="11.25">
      <c r="A71" s="49"/>
      <c r="B71" s="44" t="s">
        <v>438</v>
      </c>
      <c r="C71" s="45" t="s">
        <v>394</v>
      </c>
      <c r="D71" s="53">
        <v>4.4</v>
      </c>
      <c r="E71" s="58"/>
      <c r="F71" s="58">
        <v>3.66</v>
      </c>
      <c r="G71" s="58">
        <v>4.6</v>
      </c>
      <c r="H71" s="58">
        <v>4.35</v>
      </c>
      <c r="I71" s="58">
        <v>4.09</v>
      </c>
      <c r="J71" s="71">
        <v>4.75</v>
      </c>
      <c r="K71" s="72">
        <v>3.9</v>
      </c>
      <c r="L71" s="73">
        <v>4.1</v>
      </c>
      <c r="M71" s="74">
        <v>3.75</v>
      </c>
      <c r="N71" s="74">
        <v>4.15</v>
      </c>
      <c r="O71" s="74">
        <v>4.05</v>
      </c>
      <c r="P71" s="74">
        <v>3.5</v>
      </c>
      <c r="Q71" s="53">
        <v>3.5</v>
      </c>
      <c r="R71" s="53">
        <v>2.95</v>
      </c>
      <c r="S71" s="53">
        <v>3.7</v>
      </c>
      <c r="T71" s="53">
        <v>4.55</v>
      </c>
      <c r="U71" s="53">
        <v>4.1</v>
      </c>
      <c r="V71" s="53">
        <v>4.42</v>
      </c>
      <c r="W71" s="53">
        <v>4.48</v>
      </c>
      <c r="X71" s="53">
        <v>4.1</v>
      </c>
      <c r="Y71" s="53">
        <v>4.42</v>
      </c>
    </row>
    <row r="72" spans="1:25" ht="10.5">
      <c r="A72" s="49"/>
      <c r="B72" s="44"/>
      <c r="C72" s="45"/>
      <c r="D72" s="53"/>
      <c r="E72" s="45"/>
      <c r="F72" s="46"/>
      <c r="G72" s="46"/>
      <c r="H72" s="46"/>
      <c r="I72" s="46"/>
      <c r="J72" s="47"/>
      <c r="K72" s="46"/>
      <c r="L72" s="48"/>
      <c r="M72" s="47"/>
      <c r="N72" s="47"/>
      <c r="O72" s="47"/>
      <c r="P72" s="47"/>
      <c r="Q72" s="45"/>
      <c r="R72" s="45"/>
      <c r="S72" s="45"/>
      <c r="T72" s="45"/>
      <c r="U72" s="45"/>
      <c r="V72" s="45"/>
      <c r="W72" s="45"/>
      <c r="X72" s="45"/>
      <c r="Y72" s="45"/>
    </row>
    <row r="73" spans="1:25" ht="10.5">
      <c r="A73" s="49"/>
      <c r="B73" s="44" t="s">
        <v>253</v>
      </c>
      <c r="C73" s="45"/>
      <c r="D73" s="53"/>
      <c r="E73" s="45"/>
      <c r="F73" s="46"/>
      <c r="G73" s="46"/>
      <c r="H73" s="46"/>
      <c r="I73" s="46"/>
      <c r="J73" s="47"/>
      <c r="K73" s="46"/>
      <c r="L73" s="48"/>
      <c r="M73" s="47"/>
      <c r="N73" s="47"/>
      <c r="O73" s="47"/>
      <c r="P73" s="47"/>
      <c r="Q73" s="45"/>
      <c r="R73" s="45"/>
      <c r="S73" s="45"/>
      <c r="T73" s="45"/>
      <c r="U73" s="45"/>
      <c r="V73" s="45"/>
      <c r="W73" s="45"/>
      <c r="X73" s="45"/>
      <c r="Y73" s="45"/>
    </row>
    <row r="74" spans="1:25" ht="10.5">
      <c r="A74" s="49"/>
      <c r="B74" s="44" t="s">
        <v>251</v>
      </c>
      <c r="C74" s="45" t="s">
        <v>395</v>
      </c>
      <c r="D74" s="53"/>
      <c r="E74" s="45"/>
      <c r="F74" s="76">
        <f aca="true" t="shared" si="4" ref="F74:Y76">F69/F64</f>
        <v>0.011828571428571428</v>
      </c>
      <c r="G74" s="76">
        <f t="shared" si="4"/>
        <v>0.013142857142857142</v>
      </c>
      <c r="H74" s="77">
        <f t="shared" si="4"/>
        <v>0.012571428571428572</v>
      </c>
      <c r="I74" s="77">
        <f t="shared" si="4"/>
        <v>0.011542857142857143</v>
      </c>
      <c r="J74" s="78">
        <f t="shared" si="4"/>
        <v>0.015691666666666666</v>
      </c>
      <c r="K74" s="77">
        <f t="shared" si="4"/>
        <v>0.013333333333333332</v>
      </c>
      <c r="L74" s="79">
        <f t="shared" si="4"/>
        <v>0.014027777777777778</v>
      </c>
      <c r="M74" s="78">
        <f t="shared" si="4"/>
        <v>0.012916666666666668</v>
      </c>
      <c r="N74" s="78">
        <f t="shared" si="4"/>
        <v>0.014166666666666666</v>
      </c>
      <c r="O74" s="78">
        <f t="shared" si="4"/>
        <v>0.013888888888888888</v>
      </c>
      <c r="P74" s="78">
        <f t="shared" si="4"/>
        <v>0.012083333333333333</v>
      </c>
      <c r="Q74" s="80">
        <f t="shared" si="4"/>
        <v>0.012083333333333333</v>
      </c>
      <c r="R74" s="80">
        <f t="shared" si="4"/>
        <v>0.012916666666666668</v>
      </c>
      <c r="S74" s="80">
        <f t="shared" si="4"/>
        <v>0.009722222222222222</v>
      </c>
      <c r="T74" s="80">
        <f t="shared" si="4"/>
        <v>0.012916666666666668</v>
      </c>
      <c r="U74" s="80">
        <f t="shared" si="4"/>
        <v>0.011388888888888888</v>
      </c>
      <c r="V74" s="80">
        <f t="shared" si="4"/>
        <v>0.012277777777777778</v>
      </c>
      <c r="W74" s="80">
        <f t="shared" si="4"/>
        <v>0.012444444444444445</v>
      </c>
      <c r="X74" s="80">
        <f t="shared" si="4"/>
        <v>0.010833333333333334</v>
      </c>
      <c r="Y74" s="80">
        <f t="shared" si="4"/>
        <v>0.011891891891891894</v>
      </c>
    </row>
    <row r="75" spans="1:25" ht="10.5">
      <c r="A75" s="49"/>
      <c r="B75" s="44" t="s">
        <v>437</v>
      </c>
      <c r="C75" s="45" t="s">
        <v>395</v>
      </c>
      <c r="D75" s="53"/>
      <c r="E75" s="45"/>
      <c r="F75" s="76">
        <f t="shared" si="4"/>
        <v>0.005386666666666666</v>
      </c>
      <c r="G75" s="76">
        <f t="shared" si="4"/>
        <v>0.006133333333333333</v>
      </c>
      <c r="H75" s="77">
        <f t="shared" si="4"/>
        <v>0.006133333333333333</v>
      </c>
      <c r="I75" s="77">
        <f t="shared" si="4"/>
        <v>0.0056</v>
      </c>
      <c r="J75" s="78">
        <f t="shared" si="4"/>
        <v>0.008333333333333333</v>
      </c>
      <c r="K75" s="77">
        <f t="shared" si="4"/>
        <v>0.007083333333333333</v>
      </c>
      <c r="L75" s="79">
        <f t="shared" si="4"/>
        <v>0.007500000000000001</v>
      </c>
      <c r="M75" s="78">
        <f t="shared" si="4"/>
        <v>0.005722222222222222</v>
      </c>
      <c r="N75" s="78">
        <f t="shared" si="4"/>
        <v>0.006277777777777778</v>
      </c>
      <c r="O75" s="78">
        <f t="shared" si="4"/>
        <v>0.006166666666666667</v>
      </c>
      <c r="P75" s="78">
        <f t="shared" si="4"/>
        <v>0.0054444444444444445</v>
      </c>
      <c r="Q75" s="80">
        <f t="shared" si="4"/>
        <v>0.0054444444444444445</v>
      </c>
      <c r="R75" s="80">
        <f t="shared" si="4"/>
        <v>0.005777777777777778</v>
      </c>
      <c r="S75" s="80">
        <f t="shared" si="4"/>
        <v>0.004111111111111111</v>
      </c>
      <c r="T75" s="80">
        <f t="shared" si="4"/>
        <v>0.005388888888888888</v>
      </c>
      <c r="U75" s="80">
        <f t="shared" si="4"/>
        <v>0.005777777777777778</v>
      </c>
      <c r="V75" s="80">
        <f t="shared" si="4"/>
        <v>0.005633333333333334</v>
      </c>
      <c r="W75" s="80">
        <f t="shared" si="4"/>
        <v>0.006222222222222222</v>
      </c>
      <c r="X75" s="80">
        <f t="shared" si="4"/>
        <v>0.005388888888888888</v>
      </c>
      <c r="Y75" s="80">
        <f t="shared" si="4"/>
        <v>0.006055555555555555</v>
      </c>
    </row>
    <row r="76" spans="1:25" ht="10.5">
      <c r="A76" s="49"/>
      <c r="B76" s="44" t="s">
        <v>438</v>
      </c>
      <c r="C76" s="45" t="s">
        <v>395</v>
      </c>
      <c r="D76" s="53"/>
      <c r="E76" s="45"/>
      <c r="F76" s="76">
        <f t="shared" si="4"/>
        <v>0.028153846153846154</v>
      </c>
      <c r="G76" s="76">
        <f t="shared" si="4"/>
        <v>0.03538461538461538</v>
      </c>
      <c r="H76" s="77">
        <f t="shared" si="4"/>
        <v>0.03346153846153846</v>
      </c>
      <c r="I76" s="77">
        <f t="shared" si="4"/>
        <v>0.03146153846153846</v>
      </c>
      <c r="J76" s="78">
        <f t="shared" si="4"/>
        <v>0.03166666666666667</v>
      </c>
      <c r="K76" s="77">
        <f t="shared" si="4"/>
        <v>0.026</v>
      </c>
      <c r="L76" s="79">
        <f t="shared" si="4"/>
        <v>0.02733333333333333</v>
      </c>
      <c r="M76" s="78">
        <f t="shared" si="4"/>
        <v>0.025</v>
      </c>
      <c r="N76" s="78">
        <f t="shared" si="4"/>
        <v>0.02766666666666667</v>
      </c>
      <c r="O76" s="78">
        <f t="shared" si="4"/>
        <v>0.027</v>
      </c>
      <c r="P76" s="78">
        <f t="shared" si="4"/>
        <v>0.023333333333333334</v>
      </c>
      <c r="Q76" s="80">
        <f t="shared" si="4"/>
        <v>0.023333333333333334</v>
      </c>
      <c r="R76" s="80">
        <f t="shared" si="4"/>
        <v>0.01966666666666667</v>
      </c>
      <c r="S76" s="80">
        <f t="shared" si="4"/>
        <v>0.024666666666666667</v>
      </c>
      <c r="T76" s="80">
        <f t="shared" si="4"/>
        <v>0.030333333333333334</v>
      </c>
      <c r="U76" s="80">
        <f t="shared" si="4"/>
        <v>0.02733333333333333</v>
      </c>
      <c r="V76" s="80">
        <f t="shared" si="4"/>
        <v>0.029466666666666665</v>
      </c>
      <c r="W76" s="80">
        <f t="shared" si="4"/>
        <v>0.02986666666666667</v>
      </c>
      <c r="X76" s="80">
        <f t="shared" si="4"/>
        <v>0.02733333333333333</v>
      </c>
      <c r="Y76" s="80">
        <f t="shared" si="4"/>
        <v>0.029466666666666665</v>
      </c>
    </row>
    <row r="77" spans="1:25" ht="10.5">
      <c r="A77" s="49"/>
      <c r="B77" s="44"/>
      <c r="C77" s="45"/>
      <c r="D77" s="53"/>
      <c r="E77" s="45"/>
      <c r="F77" s="46"/>
      <c r="G77" s="46"/>
      <c r="H77" s="46"/>
      <c r="I77" s="46"/>
      <c r="J77" s="47"/>
      <c r="K77" s="46"/>
      <c r="L77" s="48"/>
      <c r="M77" s="47"/>
      <c r="N77" s="47"/>
      <c r="O77" s="47"/>
      <c r="P77" s="47"/>
      <c r="Q77" s="45"/>
      <c r="R77" s="45"/>
      <c r="S77" s="45"/>
      <c r="T77" s="45"/>
      <c r="U77" s="45"/>
      <c r="V77" s="45"/>
      <c r="W77" s="45"/>
      <c r="X77" s="45"/>
      <c r="Y77" s="45"/>
    </row>
    <row r="78" spans="1:25" ht="10.5">
      <c r="A78" s="49"/>
      <c r="B78" s="44"/>
      <c r="C78" s="45"/>
      <c r="D78" s="53"/>
      <c r="E78" s="45"/>
      <c r="F78" s="46"/>
      <c r="G78" s="46"/>
      <c r="H78" s="46"/>
      <c r="I78" s="46"/>
      <c r="J78" s="47"/>
      <c r="K78" s="46"/>
      <c r="L78" s="48"/>
      <c r="M78" s="47"/>
      <c r="N78" s="47"/>
      <c r="O78" s="47"/>
      <c r="P78" s="47"/>
      <c r="Q78" s="45"/>
      <c r="R78" s="45"/>
      <c r="S78" s="45"/>
      <c r="T78" s="45"/>
      <c r="U78" s="45"/>
      <c r="V78" s="45"/>
      <c r="W78" s="45"/>
      <c r="X78" s="45"/>
      <c r="Y78" s="45"/>
    </row>
    <row r="79" spans="1:25" ht="10.5">
      <c r="A79" s="49"/>
      <c r="B79" s="44" t="s">
        <v>254</v>
      </c>
      <c r="C79" s="45"/>
      <c r="D79" s="53"/>
      <c r="E79" s="45"/>
      <c r="F79" s="46"/>
      <c r="G79" s="46"/>
      <c r="H79" s="46"/>
      <c r="I79" s="46"/>
      <c r="J79" s="47"/>
      <c r="K79" s="46"/>
      <c r="L79" s="48"/>
      <c r="M79" s="47"/>
      <c r="N79" s="47"/>
      <c r="O79" s="47"/>
      <c r="P79" s="47"/>
      <c r="Q79" s="45"/>
      <c r="R79" s="45"/>
      <c r="S79" s="45"/>
      <c r="T79" s="45"/>
      <c r="U79" s="45"/>
      <c r="V79" s="45"/>
      <c r="W79" s="45"/>
      <c r="X79" s="45"/>
      <c r="Y79" s="45"/>
    </row>
    <row r="80" spans="1:25" ht="10.5">
      <c r="A80" s="49"/>
      <c r="B80" s="44" t="s">
        <v>251</v>
      </c>
      <c r="C80" s="45" t="s">
        <v>255</v>
      </c>
      <c r="D80" s="53"/>
      <c r="E80" s="45"/>
      <c r="F80" s="50">
        <v>5.8</v>
      </c>
      <c r="G80" s="50">
        <v>5.8</v>
      </c>
      <c r="H80" s="50">
        <v>5.8</v>
      </c>
      <c r="I80" s="50">
        <v>5.8</v>
      </c>
      <c r="J80" s="51">
        <v>5.8</v>
      </c>
      <c r="K80" s="50">
        <v>5.8</v>
      </c>
      <c r="L80" s="52">
        <v>5.8</v>
      </c>
      <c r="M80" s="51">
        <v>5.8</v>
      </c>
      <c r="N80" s="51">
        <v>5.8</v>
      </c>
      <c r="O80" s="51">
        <v>5.8</v>
      </c>
      <c r="P80" s="51">
        <v>5.8</v>
      </c>
      <c r="Q80" s="53">
        <v>5.8</v>
      </c>
      <c r="R80" s="53">
        <v>5.8</v>
      </c>
      <c r="S80" s="53">
        <v>5.8</v>
      </c>
      <c r="T80" s="53">
        <v>5.8</v>
      </c>
      <c r="U80" s="53">
        <v>5.8</v>
      </c>
      <c r="V80" s="53">
        <v>5.8</v>
      </c>
      <c r="W80" s="53">
        <v>5.8</v>
      </c>
      <c r="X80" s="53">
        <v>5.8</v>
      </c>
      <c r="Y80" s="53">
        <v>5.8</v>
      </c>
    </row>
    <row r="81" spans="1:25" ht="10.5">
      <c r="A81" s="49"/>
      <c r="B81" s="44" t="s">
        <v>256</v>
      </c>
      <c r="C81" s="45" t="s">
        <v>257</v>
      </c>
      <c r="D81" s="53"/>
      <c r="E81" s="45"/>
      <c r="F81" s="50">
        <v>9</v>
      </c>
      <c r="G81" s="50">
        <v>9</v>
      </c>
      <c r="H81" s="50">
        <v>9</v>
      </c>
      <c r="I81" s="50">
        <v>9</v>
      </c>
      <c r="J81" s="51">
        <v>9</v>
      </c>
      <c r="K81" s="50">
        <v>9</v>
      </c>
      <c r="L81" s="52">
        <v>9</v>
      </c>
      <c r="M81" s="51">
        <v>9</v>
      </c>
      <c r="N81" s="51">
        <v>9</v>
      </c>
      <c r="O81" s="51">
        <v>9</v>
      </c>
      <c r="P81" s="51">
        <v>9</v>
      </c>
      <c r="Q81" s="53"/>
      <c r="R81" s="53"/>
      <c r="S81" s="53"/>
      <c r="T81" s="53"/>
      <c r="U81" s="53"/>
      <c r="V81" s="53"/>
      <c r="W81" s="53"/>
      <c r="X81" s="53"/>
      <c r="Y81" s="53"/>
    </row>
    <row r="82" spans="1:25" ht="10.5">
      <c r="A82" s="49"/>
      <c r="B82" s="44" t="s">
        <v>258</v>
      </c>
      <c r="C82" s="45" t="s">
        <v>257</v>
      </c>
      <c r="D82" s="53"/>
      <c r="E82" s="45"/>
      <c r="F82" s="50">
        <v>42</v>
      </c>
      <c r="G82" s="50">
        <v>42</v>
      </c>
      <c r="H82" s="50">
        <v>42</v>
      </c>
      <c r="I82" s="50">
        <v>42</v>
      </c>
      <c r="J82" s="51">
        <v>42</v>
      </c>
      <c r="K82" s="50">
        <v>42</v>
      </c>
      <c r="L82" s="52">
        <v>42</v>
      </c>
      <c r="M82" s="51">
        <v>42</v>
      </c>
      <c r="N82" s="51">
        <v>42</v>
      </c>
      <c r="O82" s="51">
        <v>42</v>
      </c>
      <c r="P82" s="51">
        <v>42</v>
      </c>
      <c r="Q82" s="53">
        <v>42</v>
      </c>
      <c r="R82" s="53">
        <v>42</v>
      </c>
      <c r="S82" s="53">
        <v>42</v>
      </c>
      <c r="T82" s="53">
        <v>42</v>
      </c>
      <c r="U82" s="53">
        <v>42</v>
      </c>
      <c r="V82" s="53">
        <v>42</v>
      </c>
      <c r="W82" s="53">
        <v>42</v>
      </c>
      <c r="X82" s="53">
        <v>42</v>
      </c>
      <c r="Y82" s="53">
        <v>40</v>
      </c>
    </row>
    <row r="83" spans="1:25" ht="10.5">
      <c r="A83" s="49"/>
      <c r="B83" s="44" t="s">
        <v>259</v>
      </c>
      <c r="C83" s="45" t="s">
        <v>257</v>
      </c>
      <c r="D83" s="53"/>
      <c r="E83" s="45"/>
      <c r="F83" s="50">
        <v>52</v>
      </c>
      <c r="G83" s="50">
        <v>52</v>
      </c>
      <c r="H83" s="50">
        <v>52</v>
      </c>
      <c r="I83" s="50">
        <v>52</v>
      </c>
      <c r="J83" s="51">
        <v>52</v>
      </c>
      <c r="K83" s="50">
        <v>52</v>
      </c>
      <c r="L83" s="52">
        <v>52</v>
      </c>
      <c r="M83" s="51">
        <v>52</v>
      </c>
      <c r="N83" s="51">
        <v>52</v>
      </c>
      <c r="O83" s="51">
        <v>52</v>
      </c>
      <c r="P83" s="51">
        <v>52</v>
      </c>
      <c r="Q83" s="53">
        <v>52</v>
      </c>
      <c r="R83" s="53">
        <v>52</v>
      </c>
      <c r="S83" s="53">
        <v>52</v>
      </c>
      <c r="T83" s="53">
        <v>52</v>
      </c>
      <c r="U83" s="53">
        <v>52</v>
      </c>
      <c r="V83" s="53">
        <v>52</v>
      </c>
      <c r="W83" s="53">
        <v>52</v>
      </c>
      <c r="X83" s="53">
        <v>52</v>
      </c>
      <c r="Y83" s="53">
        <v>50</v>
      </c>
    </row>
    <row r="84" spans="1:25" ht="10.5">
      <c r="A84" s="49" t="s">
        <v>347</v>
      </c>
      <c r="B84" s="44" t="s">
        <v>260</v>
      </c>
      <c r="C84" s="45" t="s">
        <v>261</v>
      </c>
      <c r="D84" s="53"/>
      <c r="E84" s="45"/>
      <c r="F84" s="50">
        <v>24</v>
      </c>
      <c r="G84" s="50">
        <v>24</v>
      </c>
      <c r="H84" s="50">
        <v>24</v>
      </c>
      <c r="I84" s="50">
        <v>24</v>
      </c>
      <c r="J84" s="51">
        <v>24</v>
      </c>
      <c r="K84" s="50">
        <v>24</v>
      </c>
      <c r="L84" s="52">
        <v>24</v>
      </c>
      <c r="M84" s="51">
        <v>24</v>
      </c>
      <c r="N84" s="51">
        <v>24</v>
      </c>
      <c r="O84" s="51">
        <v>24</v>
      </c>
      <c r="P84" s="51">
        <v>24</v>
      </c>
      <c r="Q84" s="53">
        <v>24</v>
      </c>
      <c r="R84" s="53">
        <v>24</v>
      </c>
      <c r="S84" s="53">
        <v>24</v>
      </c>
      <c r="T84" s="53">
        <v>24</v>
      </c>
      <c r="U84" s="53">
        <v>27</v>
      </c>
      <c r="V84" s="53">
        <v>27</v>
      </c>
      <c r="W84" s="53">
        <v>27</v>
      </c>
      <c r="X84" s="53">
        <v>27</v>
      </c>
      <c r="Y84" s="53">
        <v>0</v>
      </c>
    </row>
    <row r="85" spans="1:25" ht="10.5">
      <c r="A85" s="49"/>
      <c r="B85" s="44" t="s">
        <v>262</v>
      </c>
      <c r="C85" s="45" t="s">
        <v>261</v>
      </c>
      <c r="D85" s="53"/>
      <c r="E85" s="45"/>
      <c r="F85" s="50">
        <v>38</v>
      </c>
      <c r="G85" s="50">
        <v>38</v>
      </c>
      <c r="H85" s="50">
        <v>38</v>
      </c>
      <c r="I85" s="50">
        <v>38</v>
      </c>
      <c r="J85" s="51">
        <v>38</v>
      </c>
      <c r="K85" s="50">
        <v>38</v>
      </c>
      <c r="L85" s="52">
        <v>38</v>
      </c>
      <c r="M85" s="51">
        <v>38</v>
      </c>
      <c r="N85" s="51">
        <v>38</v>
      </c>
      <c r="O85" s="51">
        <v>38</v>
      </c>
      <c r="P85" s="51">
        <v>38</v>
      </c>
      <c r="Q85" s="53">
        <v>38</v>
      </c>
      <c r="R85" s="53">
        <v>38</v>
      </c>
      <c r="S85" s="53">
        <v>38</v>
      </c>
      <c r="T85" s="53">
        <v>38</v>
      </c>
      <c r="U85" s="53">
        <v>38</v>
      </c>
      <c r="V85" s="53">
        <v>38</v>
      </c>
      <c r="W85" s="53">
        <v>38</v>
      </c>
      <c r="X85" s="53">
        <v>38</v>
      </c>
      <c r="Y85" s="53">
        <v>0</v>
      </c>
    </row>
    <row r="86" spans="1:25" ht="10.5">
      <c r="A86" s="49"/>
      <c r="B86" s="44"/>
      <c r="C86" s="45"/>
      <c r="D86" s="53"/>
      <c r="E86" s="45"/>
      <c r="F86" s="46"/>
      <c r="G86" s="46"/>
      <c r="H86" s="46"/>
      <c r="I86" s="46"/>
      <c r="J86" s="47"/>
      <c r="K86" s="46"/>
      <c r="L86" s="48"/>
      <c r="M86" s="47"/>
      <c r="N86" s="47"/>
      <c r="O86" s="47"/>
      <c r="P86" s="47"/>
      <c r="Q86" s="45"/>
      <c r="R86" s="45"/>
      <c r="S86" s="45"/>
      <c r="T86" s="45"/>
      <c r="U86" s="45"/>
      <c r="V86" s="45"/>
      <c r="W86" s="45"/>
      <c r="X86" s="45"/>
      <c r="Y86" s="45"/>
    </row>
    <row r="87" spans="1:25" ht="11.25">
      <c r="A87" s="49"/>
      <c r="B87" s="81" t="s">
        <v>263</v>
      </c>
      <c r="C87" s="45"/>
      <c r="D87" s="53"/>
      <c r="E87" s="45"/>
      <c r="F87" s="46"/>
      <c r="G87" s="46"/>
      <c r="H87" s="46"/>
      <c r="I87" s="46"/>
      <c r="J87" s="47"/>
      <c r="K87" s="46"/>
      <c r="L87" s="48"/>
      <c r="M87" s="47"/>
      <c r="N87" s="47"/>
      <c r="O87" s="47"/>
      <c r="P87" s="47"/>
      <c r="Q87" s="45"/>
      <c r="R87" s="45"/>
      <c r="S87" s="45"/>
      <c r="T87" s="45"/>
      <c r="U87" s="45"/>
      <c r="V87" s="45"/>
      <c r="W87" s="45"/>
      <c r="X87" s="45"/>
      <c r="Y87" s="45"/>
    </row>
    <row r="88" spans="1:25" ht="11.25">
      <c r="A88" s="49"/>
      <c r="B88" s="44" t="s">
        <v>251</v>
      </c>
      <c r="C88" s="45" t="s">
        <v>396</v>
      </c>
      <c r="D88" s="53"/>
      <c r="E88" s="45"/>
      <c r="F88" s="82">
        <f>F80*F74</f>
        <v>0.06860571428571428</v>
      </c>
      <c r="G88" s="82">
        <f>G80*G74</f>
        <v>0.07622857142857142</v>
      </c>
      <c r="H88" s="56">
        <f aca="true" t="shared" si="5" ref="H88:Y89">H80*H74</f>
        <v>0.07291428571428571</v>
      </c>
      <c r="I88" s="56">
        <f t="shared" si="5"/>
        <v>0.06694857142857143</v>
      </c>
      <c r="J88" s="57">
        <f t="shared" si="5"/>
        <v>0.09101166666666666</v>
      </c>
      <c r="K88" s="56">
        <f t="shared" si="5"/>
        <v>0.07733333333333332</v>
      </c>
      <c r="L88" s="83">
        <f t="shared" si="5"/>
        <v>0.0813611111111111</v>
      </c>
      <c r="M88" s="57">
        <f t="shared" si="5"/>
        <v>0.07491666666666667</v>
      </c>
      <c r="N88" s="57">
        <f t="shared" si="5"/>
        <v>0.08216666666666667</v>
      </c>
      <c r="O88" s="57">
        <f t="shared" si="5"/>
        <v>0.08055555555555555</v>
      </c>
      <c r="P88" s="57">
        <f t="shared" si="5"/>
        <v>0.07008333333333333</v>
      </c>
      <c r="Q88" s="84">
        <f t="shared" si="5"/>
        <v>0.07008333333333333</v>
      </c>
      <c r="R88" s="84">
        <f t="shared" si="5"/>
        <v>0.07491666666666667</v>
      </c>
      <c r="S88" s="84">
        <f t="shared" si="5"/>
        <v>0.05638888888888889</v>
      </c>
      <c r="T88" s="84">
        <f t="shared" si="5"/>
        <v>0.07491666666666667</v>
      </c>
      <c r="U88" s="84">
        <f t="shared" si="5"/>
        <v>0.06605555555555555</v>
      </c>
      <c r="V88" s="84">
        <f t="shared" si="5"/>
        <v>0.07121111111111111</v>
      </c>
      <c r="W88" s="84">
        <f t="shared" si="5"/>
        <v>0.07217777777777779</v>
      </c>
      <c r="X88" s="84">
        <f t="shared" si="5"/>
        <v>0.06283333333333334</v>
      </c>
      <c r="Y88" s="84">
        <f t="shared" si="5"/>
        <v>0.06897297297297299</v>
      </c>
    </row>
    <row r="89" spans="1:25" ht="11.25">
      <c r="A89" s="49"/>
      <c r="B89" s="44" t="s">
        <v>264</v>
      </c>
      <c r="C89" s="45" t="s">
        <v>399</v>
      </c>
      <c r="D89" s="53"/>
      <c r="E89" s="45"/>
      <c r="F89" s="82">
        <f>F81*F75</f>
        <v>0.048479999999999995</v>
      </c>
      <c r="G89" s="82">
        <f>G81*G75</f>
        <v>0.05519999999999999</v>
      </c>
      <c r="H89" s="56">
        <f t="shared" si="5"/>
        <v>0.05519999999999999</v>
      </c>
      <c r="I89" s="56">
        <f t="shared" si="5"/>
        <v>0.0504</v>
      </c>
      <c r="J89" s="57">
        <f t="shared" si="5"/>
        <v>0.075</v>
      </c>
      <c r="K89" s="56">
        <f t="shared" si="5"/>
        <v>0.06375</v>
      </c>
      <c r="L89" s="83">
        <f t="shared" si="5"/>
        <v>0.0675</v>
      </c>
      <c r="M89" s="57">
        <f t="shared" si="5"/>
        <v>0.051500000000000004</v>
      </c>
      <c r="N89" s="57">
        <f t="shared" si="5"/>
        <v>0.0565</v>
      </c>
      <c r="O89" s="57">
        <f t="shared" si="5"/>
        <v>0.0555</v>
      </c>
      <c r="P89" s="57">
        <f t="shared" si="5"/>
        <v>0.049</v>
      </c>
      <c r="Q89" s="84">
        <f aca="true" t="shared" si="6" ref="Q89:Y90">Q81*Q74</f>
        <v>0</v>
      </c>
      <c r="R89" s="84">
        <f t="shared" si="6"/>
        <v>0</v>
      </c>
      <c r="S89" s="84">
        <f t="shared" si="6"/>
        <v>0</v>
      </c>
      <c r="T89" s="84">
        <f t="shared" si="6"/>
        <v>0</v>
      </c>
      <c r="U89" s="84">
        <f t="shared" si="6"/>
        <v>0</v>
      </c>
      <c r="V89" s="84">
        <f t="shared" si="6"/>
        <v>0</v>
      </c>
      <c r="W89" s="84">
        <f t="shared" si="6"/>
        <v>0</v>
      </c>
      <c r="X89" s="84">
        <f t="shared" si="6"/>
        <v>0</v>
      </c>
      <c r="Y89" s="84">
        <f t="shared" si="6"/>
        <v>0</v>
      </c>
    </row>
    <row r="90" spans="1:25" ht="11.25">
      <c r="A90" s="49"/>
      <c r="B90" s="44" t="s">
        <v>258</v>
      </c>
      <c r="C90" s="45" t="s">
        <v>399</v>
      </c>
      <c r="D90" s="53"/>
      <c r="E90" s="45"/>
      <c r="F90" s="82">
        <f>F82*F75</f>
        <v>0.22624</v>
      </c>
      <c r="G90" s="82">
        <f>G82*G75</f>
        <v>0.2576</v>
      </c>
      <c r="H90" s="56">
        <f>H82*H75</f>
        <v>0.2576</v>
      </c>
      <c r="I90" s="56">
        <f>I82*I75</f>
        <v>0.2352</v>
      </c>
      <c r="J90" s="57">
        <f>J82*J75</f>
        <v>0.35</v>
      </c>
      <c r="K90" s="56">
        <f aca="true" t="shared" si="7" ref="K90:P90">K82*K75</f>
        <v>0.2975</v>
      </c>
      <c r="L90" s="83">
        <f t="shared" si="7"/>
        <v>0.315</v>
      </c>
      <c r="M90" s="57">
        <f t="shared" si="7"/>
        <v>0.24033333333333334</v>
      </c>
      <c r="N90" s="57">
        <f t="shared" si="7"/>
        <v>0.26366666666666666</v>
      </c>
      <c r="O90" s="57">
        <f t="shared" si="7"/>
        <v>0.259</v>
      </c>
      <c r="P90" s="57">
        <f t="shared" si="7"/>
        <v>0.22866666666666666</v>
      </c>
      <c r="Q90" s="84">
        <f t="shared" si="6"/>
        <v>0.22866666666666666</v>
      </c>
      <c r="R90" s="84">
        <f t="shared" si="6"/>
        <v>0.2426666666666667</v>
      </c>
      <c r="S90" s="84">
        <f t="shared" si="6"/>
        <v>0.1726666666666667</v>
      </c>
      <c r="T90" s="84">
        <f t="shared" si="6"/>
        <v>0.2263333333333333</v>
      </c>
      <c r="U90" s="84">
        <f t="shared" si="6"/>
        <v>0.2426666666666667</v>
      </c>
      <c r="V90" s="84">
        <f t="shared" si="6"/>
        <v>0.23660000000000003</v>
      </c>
      <c r="W90" s="84">
        <f t="shared" si="6"/>
        <v>0.2613333333333333</v>
      </c>
      <c r="X90" s="84">
        <f t="shared" si="6"/>
        <v>0.2263333333333333</v>
      </c>
      <c r="Y90" s="84">
        <f t="shared" si="6"/>
        <v>0.24222222222222223</v>
      </c>
    </row>
    <row r="91" spans="1:25" ht="11.25">
      <c r="A91" s="49"/>
      <c r="B91" s="44" t="s">
        <v>259</v>
      </c>
      <c r="C91" s="45" t="s">
        <v>399</v>
      </c>
      <c r="D91" s="53"/>
      <c r="E91" s="45"/>
      <c r="F91" s="82">
        <f>F83*F75</f>
        <v>0.28010666666666667</v>
      </c>
      <c r="G91" s="82">
        <f>G83*G75</f>
        <v>0.3189333333333333</v>
      </c>
      <c r="H91" s="56">
        <f aca="true" t="shared" si="8" ref="H91:Y92">H83*H75</f>
        <v>0.3189333333333333</v>
      </c>
      <c r="I91" s="56">
        <f t="shared" si="8"/>
        <v>0.2912</v>
      </c>
      <c r="J91" s="57">
        <f t="shared" si="8"/>
        <v>0.43333333333333335</v>
      </c>
      <c r="K91" s="56">
        <f t="shared" si="8"/>
        <v>0.3683333333333333</v>
      </c>
      <c r="L91" s="83">
        <f t="shared" si="8"/>
        <v>0.39</v>
      </c>
      <c r="M91" s="57">
        <f t="shared" si="8"/>
        <v>0.2975555555555556</v>
      </c>
      <c r="N91" s="57">
        <f t="shared" si="8"/>
        <v>0.3264444444444444</v>
      </c>
      <c r="O91" s="57">
        <f t="shared" si="8"/>
        <v>0.32066666666666666</v>
      </c>
      <c r="P91" s="57">
        <f t="shared" si="8"/>
        <v>0.2831111111111111</v>
      </c>
      <c r="Q91" s="84">
        <f t="shared" si="8"/>
        <v>0.2831111111111111</v>
      </c>
      <c r="R91" s="84">
        <f t="shared" si="8"/>
        <v>0.30044444444444446</v>
      </c>
      <c r="S91" s="84">
        <f t="shared" si="8"/>
        <v>0.2137777777777778</v>
      </c>
      <c r="T91" s="84">
        <f t="shared" si="8"/>
        <v>0.2802222222222222</v>
      </c>
      <c r="U91" s="84">
        <f t="shared" si="8"/>
        <v>0.30044444444444446</v>
      </c>
      <c r="V91" s="84">
        <f t="shared" si="8"/>
        <v>0.2929333333333334</v>
      </c>
      <c r="W91" s="84">
        <f t="shared" si="8"/>
        <v>0.32355555555555554</v>
      </c>
      <c r="X91" s="84">
        <f t="shared" si="8"/>
        <v>0.2802222222222222</v>
      </c>
      <c r="Y91" s="84">
        <f t="shared" si="8"/>
        <v>0.30277777777777776</v>
      </c>
    </row>
    <row r="92" spans="1:25" ht="11.25">
      <c r="A92" s="49"/>
      <c r="B92" s="44" t="s">
        <v>260</v>
      </c>
      <c r="C92" s="45" t="s">
        <v>265</v>
      </c>
      <c r="D92" s="53"/>
      <c r="E92" s="45"/>
      <c r="F92" s="82">
        <f>F84*F76</f>
        <v>0.6756923076923077</v>
      </c>
      <c r="G92" s="82">
        <f>G84*G76</f>
        <v>0.8492307692307692</v>
      </c>
      <c r="H92" s="56">
        <f t="shared" si="8"/>
        <v>0.803076923076923</v>
      </c>
      <c r="I92" s="56">
        <f t="shared" si="8"/>
        <v>0.755076923076923</v>
      </c>
      <c r="J92" s="57">
        <f t="shared" si="8"/>
        <v>0.76</v>
      </c>
      <c r="K92" s="56">
        <f t="shared" si="8"/>
        <v>0.624</v>
      </c>
      <c r="L92" s="83">
        <f t="shared" si="8"/>
        <v>0.6559999999999999</v>
      </c>
      <c r="M92" s="57">
        <f t="shared" si="8"/>
        <v>0.6000000000000001</v>
      </c>
      <c r="N92" s="57">
        <f t="shared" si="8"/>
        <v>0.664</v>
      </c>
      <c r="O92" s="57">
        <f t="shared" si="8"/>
        <v>0.648</v>
      </c>
      <c r="P92" s="57">
        <f t="shared" si="8"/>
        <v>0.56</v>
      </c>
      <c r="Q92" s="84">
        <f t="shared" si="8"/>
        <v>0.56</v>
      </c>
      <c r="R92" s="84">
        <f t="shared" si="8"/>
        <v>0.4720000000000001</v>
      </c>
      <c r="S92" s="84">
        <f t="shared" si="8"/>
        <v>0.592</v>
      </c>
      <c r="T92" s="84">
        <f t="shared" si="8"/>
        <v>0.728</v>
      </c>
      <c r="U92" s="84">
        <f t="shared" si="8"/>
        <v>0.738</v>
      </c>
      <c r="V92" s="84">
        <f t="shared" si="8"/>
        <v>0.7956</v>
      </c>
      <c r="W92" s="84">
        <f t="shared" si="8"/>
        <v>0.8064000000000001</v>
      </c>
      <c r="X92" s="84">
        <f t="shared" si="8"/>
        <v>0.738</v>
      </c>
      <c r="Y92" s="84">
        <f t="shared" si="8"/>
        <v>0</v>
      </c>
    </row>
    <row r="93" spans="1:25" ht="11.25">
      <c r="A93" s="49"/>
      <c r="B93" s="44" t="s">
        <v>262</v>
      </c>
      <c r="C93" s="45" t="s">
        <v>265</v>
      </c>
      <c r="D93" s="53"/>
      <c r="E93" s="45"/>
      <c r="F93" s="82">
        <f>F85*F76</f>
        <v>1.069846153846154</v>
      </c>
      <c r="G93" s="82">
        <f>G85*G76</f>
        <v>1.3446153846153845</v>
      </c>
      <c r="H93" s="56">
        <f>H85*H76</f>
        <v>1.2715384615384615</v>
      </c>
      <c r="I93" s="56">
        <f>I85*I76</f>
        <v>1.1955384615384614</v>
      </c>
      <c r="J93" s="57">
        <f>J85*J76</f>
        <v>1.2033333333333334</v>
      </c>
      <c r="K93" s="56">
        <f aca="true" t="shared" si="9" ref="K93:Y93">K85*K76</f>
        <v>0.988</v>
      </c>
      <c r="L93" s="83">
        <f t="shared" si="9"/>
        <v>1.0386666666666666</v>
      </c>
      <c r="M93" s="57">
        <f t="shared" si="9"/>
        <v>0.9500000000000001</v>
      </c>
      <c r="N93" s="57">
        <f t="shared" si="9"/>
        <v>1.0513333333333335</v>
      </c>
      <c r="O93" s="57">
        <f t="shared" si="9"/>
        <v>1.026</v>
      </c>
      <c r="P93" s="57">
        <f t="shared" si="9"/>
        <v>0.8866666666666667</v>
      </c>
      <c r="Q93" s="84">
        <f t="shared" si="9"/>
        <v>0.8866666666666667</v>
      </c>
      <c r="R93" s="84">
        <f t="shared" si="9"/>
        <v>0.7473333333333334</v>
      </c>
      <c r="S93" s="84">
        <f t="shared" si="9"/>
        <v>0.9373333333333334</v>
      </c>
      <c r="T93" s="84">
        <f t="shared" si="9"/>
        <v>1.1526666666666667</v>
      </c>
      <c r="U93" s="84">
        <f t="shared" si="9"/>
        <v>1.0386666666666666</v>
      </c>
      <c r="V93" s="84">
        <f t="shared" si="9"/>
        <v>1.1197333333333332</v>
      </c>
      <c r="W93" s="84">
        <f t="shared" si="9"/>
        <v>1.1349333333333333</v>
      </c>
      <c r="X93" s="84">
        <f t="shared" si="9"/>
        <v>1.0386666666666666</v>
      </c>
      <c r="Y93" s="84">
        <f t="shared" si="9"/>
        <v>0</v>
      </c>
    </row>
    <row r="94" spans="1:25" ht="10.5">
      <c r="A94" s="49"/>
      <c r="B94" s="44"/>
      <c r="C94" s="45"/>
      <c r="D94" s="53"/>
      <c r="E94" s="45"/>
      <c r="F94" s="46"/>
      <c r="G94" s="46"/>
      <c r="H94" s="46"/>
      <c r="I94" s="46"/>
      <c r="J94" s="47"/>
      <c r="K94" s="46"/>
      <c r="L94" s="48"/>
      <c r="M94" s="47"/>
      <c r="N94" s="47"/>
      <c r="O94" s="47"/>
      <c r="P94" s="47"/>
      <c r="Q94" s="45"/>
      <c r="R94" s="45"/>
      <c r="S94" s="45"/>
      <c r="T94" s="45"/>
      <c r="U94" s="45"/>
      <c r="V94" s="45"/>
      <c r="W94" s="45"/>
      <c r="X94" s="45"/>
      <c r="Y94" s="45"/>
    </row>
    <row r="95" spans="1:25" ht="11.25">
      <c r="A95" s="43" t="s">
        <v>266</v>
      </c>
      <c r="B95" s="44"/>
      <c r="C95" s="45"/>
      <c r="D95" s="53"/>
      <c r="E95" s="45"/>
      <c r="F95" s="46"/>
      <c r="G95" s="46"/>
      <c r="H95" s="46"/>
      <c r="I95" s="46"/>
      <c r="J95" s="47"/>
      <c r="K95" s="46"/>
      <c r="L95" s="48"/>
      <c r="M95" s="47"/>
      <c r="N95" s="47"/>
      <c r="O95" s="47"/>
      <c r="P95" s="47"/>
      <c r="Q95" s="45"/>
      <c r="R95" s="45"/>
      <c r="S95" s="45"/>
      <c r="T95" s="45"/>
      <c r="U95" s="45"/>
      <c r="V95" s="45"/>
      <c r="W95" s="45"/>
      <c r="X95" s="45"/>
      <c r="Y95" s="45"/>
    </row>
    <row r="96" spans="1:25" ht="10.5">
      <c r="A96" s="49"/>
      <c r="B96" s="44" t="s">
        <v>267</v>
      </c>
      <c r="C96" s="45"/>
      <c r="D96" s="53"/>
      <c r="E96" s="45"/>
      <c r="F96" s="46"/>
      <c r="G96" s="46"/>
      <c r="H96" s="46"/>
      <c r="I96" s="46"/>
      <c r="J96" s="47"/>
      <c r="K96" s="46"/>
      <c r="L96" s="48"/>
      <c r="M96" s="47"/>
      <c r="N96" s="47"/>
      <c r="O96" s="47"/>
      <c r="P96" s="47"/>
      <c r="Q96" s="45"/>
      <c r="R96" s="45"/>
      <c r="S96" s="45"/>
      <c r="T96" s="45"/>
      <c r="U96" s="45"/>
      <c r="V96" s="45"/>
      <c r="W96" s="45"/>
      <c r="X96" s="45"/>
      <c r="Y96" s="45"/>
    </row>
    <row r="97" spans="1:25" ht="11.25">
      <c r="A97" s="49"/>
      <c r="B97" s="44" t="s">
        <v>268</v>
      </c>
      <c r="C97" s="45" t="s">
        <v>398</v>
      </c>
      <c r="D97" s="53"/>
      <c r="E97" s="58"/>
      <c r="F97" s="58"/>
      <c r="G97" s="58">
        <v>251</v>
      </c>
      <c r="H97" s="58">
        <v>245</v>
      </c>
      <c r="I97" s="58">
        <v>272</v>
      </c>
      <c r="J97" s="71">
        <v>285</v>
      </c>
      <c r="K97" s="72">
        <v>236</v>
      </c>
      <c r="L97" s="73">
        <v>251</v>
      </c>
      <c r="M97" s="74">
        <v>233</v>
      </c>
      <c r="N97" s="74">
        <v>275</v>
      </c>
      <c r="O97" s="74">
        <v>297</v>
      </c>
      <c r="P97" s="74">
        <v>257</v>
      </c>
      <c r="Q97" s="51">
        <v>279</v>
      </c>
      <c r="R97" s="51">
        <v>311</v>
      </c>
      <c r="S97" s="51">
        <v>320</v>
      </c>
      <c r="T97" s="51">
        <v>305</v>
      </c>
      <c r="U97" s="51">
        <v>286</v>
      </c>
      <c r="V97" s="51">
        <v>395.5</v>
      </c>
      <c r="W97" s="51">
        <v>660</v>
      </c>
      <c r="X97" s="51"/>
      <c r="Y97" s="51"/>
    </row>
    <row r="98" spans="1:25" ht="11.25">
      <c r="A98" s="49"/>
      <c r="B98" s="44" t="s">
        <v>269</v>
      </c>
      <c r="C98" s="45"/>
      <c r="D98" s="53"/>
      <c r="E98" s="71"/>
      <c r="F98" s="85"/>
      <c r="G98" s="85">
        <v>2600</v>
      </c>
      <c r="H98" s="85">
        <v>2600</v>
      </c>
      <c r="I98" s="58"/>
      <c r="J98" s="71"/>
      <c r="K98" s="72"/>
      <c r="L98" s="73"/>
      <c r="M98" s="74"/>
      <c r="N98" s="74"/>
      <c r="O98" s="74"/>
      <c r="P98" s="74"/>
      <c r="Q98" s="51"/>
      <c r="R98" s="51"/>
      <c r="S98" s="51"/>
      <c r="T98" s="51"/>
      <c r="U98" s="51"/>
      <c r="V98" s="51"/>
      <c r="W98" s="51"/>
      <c r="X98" s="51"/>
      <c r="Y98" s="51"/>
    </row>
    <row r="99" spans="1:25" ht="10.5">
      <c r="A99" s="49"/>
      <c r="B99" s="44">
        <v>125</v>
      </c>
      <c r="C99" s="45" t="s">
        <v>395</v>
      </c>
      <c r="D99" s="53"/>
      <c r="E99" s="45"/>
      <c r="F99" s="121">
        <f>F248</f>
        <v>0.08458119658119657</v>
      </c>
      <c r="G99" s="76">
        <f>G97/G98</f>
        <v>0.09653846153846155</v>
      </c>
      <c r="H99" s="77">
        <f>H97/H98</f>
        <v>0.09423076923076923</v>
      </c>
      <c r="I99" s="77">
        <f aca="true" t="shared" si="10" ref="I99:W99">I97/3000</f>
        <v>0.09066666666666667</v>
      </c>
      <c r="J99" s="78">
        <f t="shared" si="10"/>
        <v>0.095</v>
      </c>
      <c r="K99" s="77">
        <f t="shared" si="10"/>
        <v>0.07866666666666666</v>
      </c>
      <c r="L99" s="79">
        <f t="shared" si="10"/>
        <v>0.08366666666666667</v>
      </c>
      <c r="M99" s="78">
        <f t="shared" si="10"/>
        <v>0.07766666666666666</v>
      </c>
      <c r="N99" s="78">
        <f t="shared" si="10"/>
        <v>0.09166666666666666</v>
      </c>
      <c r="O99" s="78">
        <f t="shared" si="10"/>
        <v>0.099</v>
      </c>
      <c r="P99" s="78">
        <f t="shared" si="10"/>
        <v>0.08566666666666667</v>
      </c>
      <c r="Q99" s="78">
        <f t="shared" si="10"/>
        <v>0.093</v>
      </c>
      <c r="R99" s="78">
        <f t="shared" si="10"/>
        <v>0.10366666666666667</v>
      </c>
      <c r="S99" s="78">
        <f t="shared" si="10"/>
        <v>0.10666666666666667</v>
      </c>
      <c r="T99" s="78">
        <f t="shared" si="10"/>
        <v>0.10166666666666667</v>
      </c>
      <c r="U99" s="78">
        <f t="shared" si="10"/>
        <v>0.09533333333333334</v>
      </c>
      <c r="V99" s="78">
        <f t="shared" si="10"/>
        <v>0.13183333333333333</v>
      </c>
      <c r="W99" s="78">
        <f t="shared" si="10"/>
        <v>0.22</v>
      </c>
      <c r="X99" s="78"/>
      <c r="Y99" s="78"/>
    </row>
    <row r="100" spans="1:25" ht="10.5">
      <c r="A100" s="49"/>
      <c r="B100" s="44">
        <v>130</v>
      </c>
      <c r="C100" s="45" t="s">
        <v>395</v>
      </c>
      <c r="D100" s="53"/>
      <c r="E100" s="45"/>
      <c r="F100" s="121">
        <f>F243</f>
        <v>0.0861474358974359</v>
      </c>
      <c r="G100" s="46"/>
      <c r="H100" s="46"/>
      <c r="I100" s="46"/>
      <c r="J100" s="47"/>
      <c r="K100" s="46"/>
      <c r="L100" s="48"/>
      <c r="M100" s="47"/>
      <c r="N100" s="47"/>
      <c r="O100" s="47"/>
      <c r="P100" s="47"/>
      <c r="Q100" s="47"/>
      <c r="R100" s="47"/>
      <c r="S100" s="47"/>
      <c r="T100" s="47"/>
      <c r="U100" s="47"/>
      <c r="V100" s="47"/>
      <c r="W100" s="47"/>
      <c r="X100" s="47"/>
      <c r="Y100" s="47"/>
    </row>
    <row r="101" spans="1:25" ht="10.5">
      <c r="A101" s="49"/>
      <c r="B101" s="44" t="s">
        <v>416</v>
      </c>
      <c r="C101" s="45"/>
      <c r="D101" s="53"/>
      <c r="E101" s="45"/>
      <c r="F101" s="46"/>
      <c r="G101" s="46"/>
      <c r="H101" s="46"/>
      <c r="I101" s="46"/>
      <c r="J101" s="47"/>
      <c r="K101" s="46"/>
      <c r="L101" s="48"/>
      <c r="M101" s="47"/>
      <c r="N101" s="47"/>
      <c r="O101" s="47"/>
      <c r="P101" s="47"/>
      <c r="Q101" s="47"/>
      <c r="R101" s="47"/>
      <c r="S101" s="47"/>
      <c r="T101" s="47"/>
      <c r="U101" s="47"/>
      <c r="V101" s="47"/>
      <c r="W101" s="47"/>
      <c r="X101" s="47"/>
      <c r="Y101" s="47"/>
    </row>
    <row r="102" spans="1:25" ht="10.5">
      <c r="A102" s="49"/>
      <c r="B102" s="44" t="s">
        <v>258</v>
      </c>
      <c r="C102" s="45" t="s">
        <v>257</v>
      </c>
      <c r="D102" s="53"/>
      <c r="E102" s="45"/>
      <c r="F102" s="50">
        <v>11.4</v>
      </c>
      <c r="G102" s="50">
        <v>7.6</v>
      </c>
      <c r="H102" s="50">
        <v>7.6</v>
      </c>
      <c r="I102" s="50">
        <v>7.6</v>
      </c>
      <c r="J102" s="51">
        <v>7.6</v>
      </c>
      <c r="K102" s="50">
        <v>7.6</v>
      </c>
      <c r="L102" s="52">
        <v>7.6</v>
      </c>
      <c r="M102" s="51">
        <v>7.6</v>
      </c>
      <c r="N102" s="51">
        <v>7.6</v>
      </c>
      <c r="O102" s="51">
        <v>7.6</v>
      </c>
      <c r="P102" s="51">
        <v>7.6</v>
      </c>
      <c r="Q102" s="51">
        <v>7.6</v>
      </c>
      <c r="R102" s="51">
        <v>7.6</v>
      </c>
      <c r="S102" s="51">
        <v>7.6</v>
      </c>
      <c r="T102" s="51">
        <v>7.6</v>
      </c>
      <c r="U102" s="51">
        <v>7.6</v>
      </c>
      <c r="V102" s="51">
        <v>7.6</v>
      </c>
      <c r="W102" s="51">
        <v>7.6</v>
      </c>
      <c r="X102" s="51"/>
      <c r="Y102" s="51"/>
    </row>
    <row r="103" spans="1:25" ht="10.5">
      <c r="A103" s="49"/>
      <c r="B103" s="44" t="s">
        <v>259</v>
      </c>
      <c r="C103" s="45" t="s">
        <v>257</v>
      </c>
      <c r="D103" s="53"/>
      <c r="E103" s="45"/>
      <c r="F103" s="50">
        <v>14.1</v>
      </c>
      <c r="G103" s="50">
        <v>9.4</v>
      </c>
      <c r="H103" s="50">
        <v>9.4</v>
      </c>
      <c r="I103" s="50">
        <v>9.4</v>
      </c>
      <c r="J103" s="51">
        <v>9.4</v>
      </c>
      <c r="K103" s="50">
        <v>9.4</v>
      </c>
      <c r="L103" s="52">
        <v>9.4</v>
      </c>
      <c r="M103" s="51">
        <v>9.4</v>
      </c>
      <c r="N103" s="51">
        <v>9.4</v>
      </c>
      <c r="O103" s="51">
        <v>9.4</v>
      </c>
      <c r="P103" s="51">
        <v>9.4</v>
      </c>
      <c r="Q103" s="51">
        <v>9.4</v>
      </c>
      <c r="R103" s="51">
        <v>9.4</v>
      </c>
      <c r="S103" s="51">
        <v>9.4</v>
      </c>
      <c r="T103" s="51">
        <v>9.4</v>
      </c>
      <c r="U103" s="51">
        <v>9.4</v>
      </c>
      <c r="V103" s="51">
        <v>9.4</v>
      </c>
      <c r="W103" s="51">
        <v>9.4</v>
      </c>
      <c r="X103" s="51"/>
      <c r="Y103" s="51"/>
    </row>
    <row r="104" spans="1:25" ht="10.5">
      <c r="A104" s="49"/>
      <c r="B104" s="44"/>
      <c r="C104" s="45"/>
      <c r="D104" s="53"/>
      <c r="E104" s="45"/>
      <c r="F104" s="50"/>
      <c r="G104" s="50"/>
      <c r="H104" s="50"/>
      <c r="I104" s="50"/>
      <c r="J104" s="51"/>
      <c r="K104" s="50"/>
      <c r="L104" s="52"/>
      <c r="M104" s="51"/>
      <c r="N104" s="51"/>
      <c r="O104" s="51"/>
      <c r="P104" s="51"/>
      <c r="Q104" s="51"/>
      <c r="R104" s="51"/>
      <c r="S104" s="51"/>
      <c r="T104" s="51"/>
      <c r="U104" s="51"/>
      <c r="V104" s="51"/>
      <c r="W104" s="51"/>
      <c r="X104" s="51"/>
      <c r="Y104" s="51"/>
    </row>
    <row r="105" spans="1:25" ht="10.5">
      <c r="A105" s="49"/>
      <c r="B105" s="44" t="s">
        <v>417</v>
      </c>
      <c r="C105" s="45"/>
      <c r="D105" s="53"/>
      <c r="E105" s="45"/>
      <c r="F105" s="50"/>
      <c r="G105" s="50"/>
      <c r="H105" s="50"/>
      <c r="I105" s="50"/>
      <c r="J105" s="51"/>
      <c r="K105" s="50"/>
      <c r="L105" s="52"/>
      <c r="M105" s="51"/>
      <c r="N105" s="51"/>
      <c r="O105" s="51"/>
      <c r="P105" s="51"/>
      <c r="Q105" s="51"/>
      <c r="R105" s="51"/>
      <c r="S105" s="51"/>
      <c r="T105" s="51"/>
      <c r="U105" s="51"/>
      <c r="V105" s="51"/>
      <c r="W105" s="51"/>
      <c r="X105" s="51"/>
      <c r="Y105" s="51"/>
    </row>
    <row r="106" spans="1:25" ht="10.5">
      <c r="A106" s="49"/>
      <c r="B106" s="44" t="s">
        <v>258</v>
      </c>
      <c r="C106" s="45" t="s">
        <v>257</v>
      </c>
      <c r="D106" s="53"/>
      <c r="E106" s="45"/>
      <c r="F106" s="50">
        <v>8.6</v>
      </c>
      <c r="G106" s="50"/>
      <c r="H106" s="50"/>
      <c r="I106" s="50"/>
      <c r="J106" s="51"/>
      <c r="K106" s="50"/>
      <c r="L106" s="52"/>
      <c r="M106" s="51"/>
      <c r="N106" s="51"/>
      <c r="O106" s="51"/>
      <c r="P106" s="51"/>
      <c r="Q106" s="51"/>
      <c r="R106" s="51"/>
      <c r="S106" s="51"/>
      <c r="T106" s="51"/>
      <c r="U106" s="51"/>
      <c r="V106" s="51"/>
      <c r="W106" s="51"/>
      <c r="X106" s="51"/>
      <c r="Y106" s="51"/>
    </row>
    <row r="107" spans="1:25" ht="10.5">
      <c r="A107" s="49"/>
      <c r="B107" s="44" t="s">
        <v>259</v>
      </c>
      <c r="C107" s="45" t="s">
        <v>257</v>
      </c>
      <c r="D107" s="53"/>
      <c r="E107" s="45"/>
      <c r="F107" s="50">
        <v>10.6</v>
      </c>
      <c r="G107" s="50"/>
      <c r="H107" s="50"/>
      <c r="I107" s="50"/>
      <c r="J107" s="51"/>
      <c r="K107" s="50"/>
      <c r="L107" s="52"/>
      <c r="M107" s="51"/>
      <c r="N107" s="51"/>
      <c r="O107" s="51"/>
      <c r="P107" s="51"/>
      <c r="Q107" s="51"/>
      <c r="R107" s="51"/>
      <c r="S107" s="51"/>
      <c r="T107" s="51"/>
      <c r="U107" s="51"/>
      <c r="V107" s="51"/>
      <c r="W107" s="51"/>
      <c r="X107" s="51"/>
      <c r="Y107" s="51"/>
    </row>
    <row r="108" spans="1:25" ht="10.5">
      <c r="A108" s="49"/>
      <c r="B108" s="44"/>
      <c r="C108" s="45"/>
      <c r="D108" s="53"/>
      <c r="E108" s="45"/>
      <c r="F108" s="46"/>
      <c r="G108" s="46"/>
      <c r="H108" s="46"/>
      <c r="I108" s="46"/>
      <c r="J108" s="47"/>
      <c r="K108" s="46"/>
      <c r="L108" s="48"/>
      <c r="M108" s="47"/>
      <c r="N108" s="47"/>
      <c r="O108" s="47"/>
      <c r="P108" s="47"/>
      <c r="Q108" s="47"/>
      <c r="R108" s="47"/>
      <c r="S108" s="47"/>
      <c r="T108" s="47"/>
      <c r="U108" s="47"/>
      <c r="V108" s="47"/>
      <c r="W108" s="47"/>
      <c r="X108" s="47"/>
      <c r="Y108" s="47"/>
    </row>
    <row r="109" spans="1:25" ht="10.5">
      <c r="A109" s="49"/>
      <c r="B109" s="44" t="s">
        <v>418</v>
      </c>
      <c r="C109" s="45"/>
      <c r="D109" s="53"/>
      <c r="E109" s="45"/>
      <c r="F109" s="46"/>
      <c r="G109" s="46"/>
      <c r="H109" s="46"/>
      <c r="I109" s="46"/>
      <c r="J109" s="47"/>
      <c r="K109" s="46"/>
      <c r="L109" s="48"/>
      <c r="M109" s="47"/>
      <c r="N109" s="47"/>
      <c r="O109" s="47"/>
      <c r="P109" s="47"/>
      <c r="Q109" s="47"/>
      <c r="R109" s="47"/>
      <c r="S109" s="47"/>
      <c r="T109" s="47"/>
      <c r="U109" s="47"/>
      <c r="V109" s="47"/>
      <c r="W109" s="47"/>
      <c r="X109" s="47"/>
      <c r="Y109" s="47"/>
    </row>
    <row r="110" spans="1:25" ht="11.25">
      <c r="A110" s="49"/>
      <c r="B110" s="44" t="s">
        <v>258</v>
      </c>
      <c r="C110" s="45" t="s">
        <v>399</v>
      </c>
      <c r="D110" s="53"/>
      <c r="E110" s="45"/>
      <c r="F110" s="86">
        <f>F102*F99</f>
        <v>0.964225641025641</v>
      </c>
      <c r="G110" s="86">
        <f>G102*G99</f>
        <v>0.7336923076923078</v>
      </c>
      <c r="H110" s="56">
        <f>H102*H99</f>
        <v>0.7161538461538461</v>
      </c>
      <c r="I110" s="56">
        <f>I102*I99</f>
        <v>0.6890666666666667</v>
      </c>
      <c r="J110" s="57">
        <f>J102*J99</f>
        <v>0.722</v>
      </c>
      <c r="K110" s="56">
        <f aca="true" t="shared" si="11" ref="K110:W110">K102*K99</f>
        <v>0.5978666666666667</v>
      </c>
      <c r="L110" s="83">
        <f t="shared" si="11"/>
        <v>0.6358666666666667</v>
      </c>
      <c r="M110" s="57">
        <f t="shared" si="11"/>
        <v>0.5902666666666666</v>
      </c>
      <c r="N110" s="57">
        <f t="shared" si="11"/>
        <v>0.6966666666666665</v>
      </c>
      <c r="O110" s="57">
        <f t="shared" si="11"/>
        <v>0.7524</v>
      </c>
      <c r="P110" s="57">
        <f t="shared" si="11"/>
        <v>0.6510666666666667</v>
      </c>
      <c r="Q110" s="57">
        <f t="shared" si="11"/>
        <v>0.7068</v>
      </c>
      <c r="R110" s="57">
        <f t="shared" si="11"/>
        <v>0.7878666666666667</v>
      </c>
      <c r="S110" s="57">
        <f t="shared" si="11"/>
        <v>0.8106666666666666</v>
      </c>
      <c r="T110" s="57">
        <f t="shared" si="11"/>
        <v>0.7726666666666666</v>
      </c>
      <c r="U110" s="57">
        <f t="shared" si="11"/>
        <v>0.7245333333333334</v>
      </c>
      <c r="V110" s="57">
        <f t="shared" si="11"/>
        <v>1.0019333333333333</v>
      </c>
      <c r="W110" s="57">
        <f t="shared" si="11"/>
        <v>1.672</v>
      </c>
      <c r="X110" s="51"/>
      <c r="Y110" s="51"/>
    </row>
    <row r="111" spans="1:25" ht="11.25">
      <c r="A111" s="49"/>
      <c r="B111" s="44" t="s">
        <v>259</v>
      </c>
      <c r="C111" s="45" t="s">
        <v>399</v>
      </c>
      <c r="D111" s="53"/>
      <c r="E111" s="45"/>
      <c r="F111" s="86">
        <f>F103*F100</f>
        <v>1.214678846153846</v>
      </c>
      <c r="G111" s="86">
        <f>G103*G99</f>
        <v>0.9074615384615385</v>
      </c>
      <c r="H111" s="56">
        <f>H103*H99</f>
        <v>0.8857692307692308</v>
      </c>
      <c r="I111" s="56">
        <f>I103*I99</f>
        <v>0.8522666666666667</v>
      </c>
      <c r="J111" s="57">
        <f>J103*J99</f>
        <v>0.893</v>
      </c>
      <c r="K111" s="56">
        <f aca="true" t="shared" si="12" ref="K111:W111">K103*K99</f>
        <v>0.7394666666666666</v>
      </c>
      <c r="L111" s="83">
        <f t="shared" si="12"/>
        <v>0.7864666666666666</v>
      </c>
      <c r="M111" s="57">
        <f t="shared" si="12"/>
        <v>0.7300666666666666</v>
      </c>
      <c r="N111" s="57">
        <f t="shared" si="12"/>
        <v>0.8616666666666667</v>
      </c>
      <c r="O111" s="57">
        <f t="shared" si="12"/>
        <v>0.9306000000000001</v>
      </c>
      <c r="P111" s="57">
        <f t="shared" si="12"/>
        <v>0.8052666666666667</v>
      </c>
      <c r="Q111" s="57">
        <f t="shared" si="12"/>
        <v>0.8742</v>
      </c>
      <c r="R111" s="57">
        <f t="shared" si="12"/>
        <v>0.9744666666666667</v>
      </c>
      <c r="S111" s="57">
        <f t="shared" si="12"/>
        <v>1.0026666666666668</v>
      </c>
      <c r="T111" s="57">
        <f t="shared" si="12"/>
        <v>0.9556666666666668</v>
      </c>
      <c r="U111" s="57">
        <f t="shared" si="12"/>
        <v>0.8961333333333334</v>
      </c>
      <c r="V111" s="57">
        <f t="shared" si="12"/>
        <v>1.2392333333333334</v>
      </c>
      <c r="W111" s="57">
        <f t="shared" si="12"/>
        <v>2.068</v>
      </c>
      <c r="X111" s="51"/>
      <c r="Y111" s="51"/>
    </row>
    <row r="112" spans="1:25" ht="11.25">
      <c r="A112" s="49"/>
      <c r="B112" s="44"/>
      <c r="C112" s="45"/>
      <c r="D112" s="53"/>
      <c r="E112" s="45"/>
      <c r="F112" s="86"/>
      <c r="G112" s="86"/>
      <c r="H112" s="56"/>
      <c r="I112" s="56"/>
      <c r="J112" s="57"/>
      <c r="K112" s="56"/>
      <c r="L112" s="83"/>
      <c r="M112" s="57"/>
      <c r="N112" s="57"/>
      <c r="O112" s="57"/>
      <c r="P112" s="57"/>
      <c r="Q112" s="57"/>
      <c r="R112" s="57"/>
      <c r="S112" s="57"/>
      <c r="T112" s="57"/>
      <c r="U112" s="57"/>
      <c r="V112" s="57"/>
      <c r="W112" s="57"/>
      <c r="X112" s="51"/>
      <c r="Y112" s="51"/>
    </row>
    <row r="113" spans="1:25" ht="11.25">
      <c r="A113" s="49"/>
      <c r="B113" s="44" t="s">
        <v>461</v>
      </c>
      <c r="C113" s="45"/>
      <c r="D113" s="53"/>
      <c r="E113" s="45"/>
      <c r="F113" s="86"/>
      <c r="G113" s="86"/>
      <c r="H113" s="56"/>
      <c r="I113" s="56"/>
      <c r="J113" s="57"/>
      <c r="K113" s="56"/>
      <c r="L113" s="83"/>
      <c r="M113" s="57"/>
      <c r="N113" s="57"/>
      <c r="O113" s="57"/>
      <c r="P113" s="57"/>
      <c r="Q113" s="57"/>
      <c r="R113" s="57"/>
      <c r="S113" s="57"/>
      <c r="T113" s="57"/>
      <c r="U113" s="57"/>
      <c r="V113" s="57"/>
      <c r="W113" s="57"/>
      <c r="X113" s="51"/>
      <c r="Y113" s="51"/>
    </row>
    <row r="114" spans="1:25" ht="11.25">
      <c r="A114" s="49"/>
      <c r="B114" s="44" t="s">
        <v>258</v>
      </c>
      <c r="C114" s="45" t="s">
        <v>399</v>
      </c>
      <c r="D114" s="53"/>
      <c r="E114" s="45"/>
      <c r="F114" s="86">
        <f>F99*F106</f>
        <v>0.7273982905982905</v>
      </c>
      <c r="G114" s="86"/>
      <c r="H114" s="56"/>
      <c r="I114" s="56"/>
      <c r="J114" s="57"/>
      <c r="K114" s="56"/>
      <c r="L114" s="83"/>
      <c r="M114" s="57"/>
      <c r="N114" s="57"/>
      <c r="O114" s="57"/>
      <c r="P114" s="57"/>
      <c r="Q114" s="57"/>
      <c r="R114" s="57"/>
      <c r="S114" s="57"/>
      <c r="T114" s="57"/>
      <c r="U114" s="57"/>
      <c r="V114" s="57"/>
      <c r="W114" s="57"/>
      <c r="X114" s="51"/>
      <c r="Y114" s="51"/>
    </row>
    <row r="115" spans="1:25" ht="11.25">
      <c r="A115" s="49"/>
      <c r="B115" s="44" t="s">
        <v>259</v>
      </c>
      <c r="C115" s="45" t="s">
        <v>399</v>
      </c>
      <c r="D115" s="53"/>
      <c r="E115" s="45"/>
      <c r="F115" s="86">
        <f>F100*F107</f>
        <v>0.9131628205128205</v>
      </c>
      <c r="G115" s="86"/>
      <c r="H115" s="56"/>
      <c r="I115" s="56"/>
      <c r="J115" s="57"/>
      <c r="K115" s="56"/>
      <c r="L115" s="83"/>
      <c r="M115" s="57"/>
      <c r="N115" s="57"/>
      <c r="O115" s="57"/>
      <c r="P115" s="57"/>
      <c r="Q115" s="57"/>
      <c r="R115" s="57"/>
      <c r="S115" s="57"/>
      <c r="T115" s="57"/>
      <c r="U115" s="57"/>
      <c r="V115" s="57"/>
      <c r="W115" s="57"/>
      <c r="X115" s="51"/>
      <c r="Y115" s="51"/>
    </row>
    <row r="116" spans="1:25" ht="10.5">
      <c r="A116" s="49"/>
      <c r="B116" s="44"/>
      <c r="C116" s="45"/>
      <c r="D116" s="53"/>
      <c r="E116" s="45"/>
      <c r="F116" s="46"/>
      <c r="G116" s="46"/>
      <c r="H116" s="46"/>
      <c r="I116" s="46"/>
      <c r="J116" s="47"/>
      <c r="K116" s="46"/>
      <c r="L116" s="48"/>
      <c r="M116" s="47"/>
      <c r="N116" s="47"/>
      <c r="O116" s="47"/>
      <c r="P116" s="47"/>
      <c r="Q116" s="47"/>
      <c r="R116" s="47"/>
      <c r="S116" s="47"/>
      <c r="T116" s="47"/>
      <c r="U116" s="47"/>
      <c r="V116" s="47"/>
      <c r="W116" s="47"/>
      <c r="X116" s="47"/>
      <c r="Y116" s="47"/>
    </row>
    <row r="117" spans="1:25" ht="11.25">
      <c r="A117" s="43" t="s">
        <v>476</v>
      </c>
      <c r="B117" s="44"/>
      <c r="C117" s="45"/>
      <c r="D117" s="53"/>
      <c r="E117" s="45"/>
      <c r="F117" s="46"/>
      <c r="G117" s="46"/>
      <c r="H117" s="46"/>
      <c r="I117" s="46"/>
      <c r="J117" s="47"/>
      <c r="K117" s="46"/>
      <c r="L117" s="48"/>
      <c r="M117" s="47"/>
      <c r="N117" s="47"/>
      <c r="O117" s="47"/>
      <c r="P117" s="47"/>
      <c r="Q117" s="47"/>
      <c r="R117" s="47"/>
      <c r="S117" s="47"/>
      <c r="T117" s="47"/>
      <c r="U117" s="47"/>
      <c r="V117" s="47"/>
      <c r="W117" s="47"/>
      <c r="X117" s="47"/>
      <c r="Y117" s="47"/>
    </row>
    <row r="118" spans="1:25" ht="10.5">
      <c r="A118" s="49"/>
      <c r="B118" s="44" t="s">
        <v>270</v>
      </c>
      <c r="C118" s="45"/>
      <c r="D118" s="53"/>
      <c r="E118" s="45"/>
      <c r="F118" s="46"/>
      <c r="G118" s="46"/>
      <c r="H118" s="46"/>
      <c r="I118" s="46"/>
      <c r="J118" s="47"/>
      <c r="K118" s="46"/>
      <c r="L118" s="48"/>
      <c r="M118" s="47"/>
      <c r="N118" s="47"/>
      <c r="O118" s="47"/>
      <c r="P118" s="47"/>
      <c r="Q118" s="47"/>
      <c r="R118" s="47"/>
      <c r="S118" s="47"/>
      <c r="T118" s="47"/>
      <c r="U118" s="47"/>
      <c r="V118" s="47"/>
      <c r="W118" s="47"/>
      <c r="X118" s="47"/>
      <c r="Y118" s="47"/>
    </row>
    <row r="119" spans="1:25" ht="10.5">
      <c r="A119" s="49"/>
      <c r="B119" s="44" t="s">
        <v>271</v>
      </c>
      <c r="C119" s="45"/>
      <c r="D119" s="53"/>
      <c r="E119" s="45"/>
      <c r="F119" s="46"/>
      <c r="G119" s="46"/>
      <c r="H119" s="46"/>
      <c r="I119" s="46"/>
      <c r="J119" s="47"/>
      <c r="K119" s="46"/>
      <c r="L119" s="48"/>
      <c r="M119" s="47"/>
      <c r="N119" s="47"/>
      <c r="O119" s="47"/>
      <c r="P119" s="47"/>
      <c r="Q119" s="47"/>
      <c r="R119" s="47"/>
      <c r="S119" s="47"/>
      <c r="T119" s="47"/>
      <c r="U119" s="47"/>
      <c r="V119" s="47"/>
      <c r="W119" s="47"/>
      <c r="X119" s="47"/>
      <c r="Y119" s="47"/>
    </row>
    <row r="120" spans="1:25" ht="10.5">
      <c r="A120" s="49"/>
      <c r="B120" s="44" t="s">
        <v>272</v>
      </c>
      <c r="C120" s="45"/>
      <c r="D120" s="53"/>
      <c r="E120" s="45"/>
      <c r="F120" s="46"/>
      <c r="G120" s="46"/>
      <c r="H120" s="46"/>
      <c r="I120" s="46"/>
      <c r="J120" s="47"/>
      <c r="K120" s="46"/>
      <c r="L120" s="48"/>
      <c r="M120" s="47"/>
      <c r="N120" s="47"/>
      <c r="O120" s="47"/>
      <c r="P120" s="47"/>
      <c r="Q120" s="47"/>
      <c r="R120" s="47"/>
      <c r="S120" s="47"/>
      <c r="T120" s="47"/>
      <c r="U120" s="47"/>
      <c r="V120" s="47"/>
      <c r="W120" s="47"/>
      <c r="X120" s="47"/>
      <c r="Y120" s="47"/>
    </row>
    <row r="121" spans="1:25" ht="10.5">
      <c r="A121" s="49"/>
      <c r="B121" s="44" t="s">
        <v>250</v>
      </c>
      <c r="C121" s="45"/>
      <c r="D121" s="53"/>
      <c r="E121" s="45"/>
      <c r="F121" s="46"/>
      <c r="G121" s="46"/>
      <c r="H121" s="46"/>
      <c r="I121" s="46"/>
      <c r="J121" s="47"/>
      <c r="K121" s="46"/>
      <c r="L121" s="48"/>
      <c r="M121" s="47"/>
      <c r="N121" s="47"/>
      <c r="O121" s="47"/>
      <c r="P121" s="47"/>
      <c r="Q121" s="47"/>
      <c r="R121" s="47"/>
      <c r="S121" s="47"/>
      <c r="T121" s="47"/>
      <c r="U121" s="47"/>
      <c r="V121" s="47"/>
      <c r="W121" s="47"/>
      <c r="X121" s="47"/>
      <c r="Y121" s="47"/>
    </row>
    <row r="122" spans="1:25" ht="10.5">
      <c r="A122" s="49"/>
      <c r="B122" s="44" t="s">
        <v>400</v>
      </c>
      <c r="C122" s="45" t="s">
        <v>439</v>
      </c>
      <c r="D122" s="53"/>
      <c r="E122" s="45"/>
      <c r="F122" s="50">
        <v>1500</v>
      </c>
      <c r="G122" s="50">
        <v>1800</v>
      </c>
      <c r="H122" s="50">
        <v>1800</v>
      </c>
      <c r="I122" s="50">
        <v>1800</v>
      </c>
      <c r="J122" s="51">
        <v>1800</v>
      </c>
      <c r="K122" s="50">
        <v>1800</v>
      </c>
      <c r="L122" s="52">
        <v>1800</v>
      </c>
      <c r="M122" s="51">
        <v>1800</v>
      </c>
      <c r="N122" s="51">
        <v>1800</v>
      </c>
      <c r="O122" s="51">
        <v>1800</v>
      </c>
      <c r="P122" s="51">
        <v>1800</v>
      </c>
      <c r="Q122" s="51">
        <v>1800</v>
      </c>
      <c r="R122" s="51">
        <v>1800</v>
      </c>
      <c r="S122" s="51">
        <v>1800</v>
      </c>
      <c r="T122" s="51">
        <v>1800</v>
      </c>
      <c r="U122" s="51">
        <v>1800</v>
      </c>
      <c r="V122" s="51">
        <v>1800</v>
      </c>
      <c r="W122" s="51">
        <v>1800</v>
      </c>
      <c r="X122" s="51">
        <v>1800</v>
      </c>
      <c r="Y122" s="51">
        <v>1800</v>
      </c>
    </row>
    <row r="123" spans="1:25" ht="10.5">
      <c r="A123" s="49"/>
      <c r="B123" s="44" t="s">
        <v>401</v>
      </c>
      <c r="C123" s="45" t="s">
        <v>439</v>
      </c>
      <c r="D123" s="53"/>
      <c r="E123" s="45"/>
      <c r="F123" s="50">
        <v>0.75</v>
      </c>
      <c r="G123" s="50">
        <v>0.5</v>
      </c>
      <c r="H123" s="50">
        <v>0.5</v>
      </c>
      <c r="I123" s="50">
        <v>0.5</v>
      </c>
      <c r="J123" s="51">
        <v>0.5</v>
      </c>
      <c r="K123" s="50">
        <v>0.5</v>
      </c>
      <c r="L123" s="52">
        <v>0.5</v>
      </c>
      <c r="M123" s="51">
        <v>0.5</v>
      </c>
      <c r="N123" s="51">
        <v>0.5</v>
      </c>
      <c r="O123" s="51">
        <v>0.5</v>
      </c>
      <c r="P123" s="51">
        <v>0.5</v>
      </c>
      <c r="Q123" s="51">
        <v>0.5</v>
      </c>
      <c r="R123" s="51">
        <v>0.5</v>
      </c>
      <c r="S123" s="51">
        <v>0.5</v>
      </c>
      <c r="T123" s="51">
        <v>0.5</v>
      </c>
      <c r="U123" s="51">
        <v>0.5</v>
      </c>
      <c r="V123" s="51">
        <v>0.5</v>
      </c>
      <c r="W123" s="51">
        <v>0.5</v>
      </c>
      <c r="X123" s="51">
        <v>0.5</v>
      </c>
      <c r="Y123" s="51">
        <v>0.5</v>
      </c>
    </row>
    <row r="124" spans="1:25" ht="10.5">
      <c r="A124" s="49"/>
      <c r="B124" s="44" t="s">
        <v>402</v>
      </c>
      <c r="C124" s="45" t="s">
        <v>181</v>
      </c>
      <c r="D124" s="53"/>
      <c r="E124" s="45"/>
      <c r="F124" s="50">
        <v>28</v>
      </c>
      <c r="G124" s="50">
        <v>22.3</v>
      </c>
      <c r="H124" s="50">
        <v>22.3</v>
      </c>
      <c r="I124" s="50">
        <v>22.3</v>
      </c>
      <c r="J124" s="51">
        <v>22.3</v>
      </c>
      <c r="K124" s="50">
        <v>22.3</v>
      </c>
      <c r="L124" s="52">
        <v>22.3</v>
      </c>
      <c r="M124" s="51">
        <v>22.3</v>
      </c>
      <c r="N124" s="51">
        <v>22.3</v>
      </c>
      <c r="O124" s="51">
        <v>22.3</v>
      </c>
      <c r="P124" s="51">
        <v>22.3</v>
      </c>
      <c r="Q124" s="51">
        <v>20</v>
      </c>
      <c r="R124" s="51">
        <v>20</v>
      </c>
      <c r="S124" s="51">
        <v>20</v>
      </c>
      <c r="T124" s="51">
        <v>20</v>
      </c>
      <c r="U124" s="51">
        <v>20</v>
      </c>
      <c r="V124" s="51">
        <v>20</v>
      </c>
      <c r="W124" s="51">
        <v>20</v>
      </c>
      <c r="X124" s="51">
        <v>20</v>
      </c>
      <c r="Y124" s="51">
        <v>20</v>
      </c>
    </row>
    <row r="125" spans="1:27" ht="10.5">
      <c r="A125" s="49"/>
      <c r="B125" s="44"/>
      <c r="C125" s="45"/>
      <c r="D125" s="53"/>
      <c r="E125" s="45"/>
      <c r="F125" s="50"/>
      <c r="G125" s="50"/>
      <c r="H125" s="50"/>
      <c r="I125" s="50"/>
      <c r="J125" s="51"/>
      <c r="K125" s="50"/>
      <c r="L125" s="52"/>
      <c r="M125" s="51"/>
      <c r="N125" s="51"/>
      <c r="O125" s="51"/>
      <c r="P125" s="51"/>
      <c r="Q125" s="51"/>
      <c r="R125" s="51"/>
      <c r="S125" s="51"/>
      <c r="T125" s="51"/>
      <c r="U125" s="51"/>
      <c r="V125" s="51"/>
      <c r="W125" s="51"/>
      <c r="X125" s="51"/>
      <c r="Y125" s="51"/>
      <c r="AA125" s="18">
        <v>28</v>
      </c>
    </row>
    <row r="126" spans="1:27" ht="10.5">
      <c r="A126" s="49"/>
      <c r="B126" s="44" t="s">
        <v>154</v>
      </c>
      <c r="C126" s="45" t="s">
        <v>257</v>
      </c>
      <c r="D126" s="53"/>
      <c r="E126" s="45"/>
      <c r="F126" s="50">
        <v>63</v>
      </c>
      <c r="G126" s="50">
        <v>95</v>
      </c>
      <c r="H126" s="50">
        <v>95</v>
      </c>
      <c r="I126" s="50">
        <v>95</v>
      </c>
      <c r="J126" s="51">
        <v>95</v>
      </c>
      <c r="K126" s="50">
        <v>95</v>
      </c>
      <c r="L126" s="52">
        <v>95</v>
      </c>
      <c r="M126" s="51">
        <v>95</v>
      </c>
      <c r="N126" s="51">
        <v>95</v>
      </c>
      <c r="O126" s="51">
        <v>95</v>
      </c>
      <c r="P126" s="51">
        <v>95</v>
      </c>
      <c r="Q126" s="51">
        <v>90</v>
      </c>
      <c r="R126" s="51">
        <v>90</v>
      </c>
      <c r="S126" s="51">
        <v>90</v>
      </c>
      <c r="T126" s="51">
        <v>90</v>
      </c>
      <c r="U126" s="51">
        <v>90</v>
      </c>
      <c r="V126" s="51">
        <v>80</v>
      </c>
      <c r="W126" s="51">
        <v>80</v>
      </c>
      <c r="X126" s="51">
        <v>67</v>
      </c>
      <c r="Y126" s="51">
        <v>67</v>
      </c>
      <c r="AA126" s="18">
        <v>1.2</v>
      </c>
    </row>
    <row r="127" spans="1:27" ht="10.5">
      <c r="A127" s="49"/>
      <c r="B127" s="44"/>
      <c r="C127" s="45"/>
      <c r="D127" s="53"/>
      <c r="E127" s="45"/>
      <c r="F127" s="87">
        <f aca="true" t="shared" si="13" ref="F127:P127">F124/F122*F126</f>
        <v>1.1760000000000002</v>
      </c>
      <c r="G127" s="87">
        <f t="shared" si="13"/>
        <v>1.1769444444444443</v>
      </c>
      <c r="H127" s="88">
        <f t="shared" si="13"/>
        <v>1.1769444444444443</v>
      </c>
      <c r="I127" s="88">
        <f t="shared" si="13"/>
        <v>1.1769444444444443</v>
      </c>
      <c r="J127" s="89">
        <f t="shared" si="13"/>
        <v>1.1769444444444443</v>
      </c>
      <c r="K127" s="88">
        <f t="shared" si="13"/>
        <v>1.1769444444444443</v>
      </c>
      <c r="L127" s="90">
        <f t="shared" si="13"/>
        <v>1.1769444444444443</v>
      </c>
      <c r="M127" s="89">
        <f t="shared" si="13"/>
        <v>1.1769444444444443</v>
      </c>
      <c r="N127" s="89">
        <f t="shared" si="13"/>
        <v>1.1769444444444443</v>
      </c>
      <c r="O127" s="89">
        <f t="shared" si="13"/>
        <v>1.1769444444444443</v>
      </c>
      <c r="P127" s="89">
        <f t="shared" si="13"/>
        <v>1.1769444444444443</v>
      </c>
      <c r="Q127" s="51"/>
      <c r="R127" s="51"/>
      <c r="S127" s="51"/>
      <c r="T127" s="51"/>
      <c r="U127" s="51"/>
      <c r="V127" s="51"/>
      <c r="W127" s="51"/>
      <c r="X127" s="51"/>
      <c r="Y127" s="51"/>
      <c r="AA127" s="18">
        <f>AA125/AA126</f>
        <v>23.333333333333336</v>
      </c>
    </row>
    <row r="128" spans="1:25" ht="10.5">
      <c r="A128" s="49"/>
      <c r="B128" s="44"/>
      <c r="C128" s="45"/>
      <c r="D128" s="53"/>
      <c r="E128" s="45"/>
      <c r="F128" s="88"/>
      <c r="G128" s="88"/>
      <c r="H128" s="88"/>
      <c r="I128" s="88"/>
      <c r="J128" s="89"/>
      <c r="K128" s="88"/>
      <c r="L128" s="90"/>
      <c r="M128" s="89"/>
      <c r="N128" s="89"/>
      <c r="O128" s="89"/>
      <c r="P128" s="89"/>
      <c r="Q128" s="51"/>
      <c r="R128" s="51"/>
      <c r="S128" s="51"/>
      <c r="T128" s="51"/>
      <c r="U128" s="51"/>
      <c r="V128" s="51"/>
      <c r="W128" s="51"/>
      <c r="X128" s="51"/>
      <c r="Y128" s="51"/>
    </row>
    <row r="129" spans="1:25" ht="10.5">
      <c r="A129" s="49"/>
      <c r="B129" s="44" t="s">
        <v>155</v>
      </c>
      <c r="C129" s="45" t="s">
        <v>257</v>
      </c>
      <c r="D129" s="53"/>
      <c r="E129" s="45"/>
      <c r="F129" s="50">
        <v>71</v>
      </c>
      <c r="G129" s="88"/>
      <c r="H129" s="88"/>
      <c r="I129" s="88"/>
      <c r="J129" s="89"/>
      <c r="K129" s="88"/>
      <c r="L129" s="90"/>
      <c r="M129" s="89"/>
      <c r="N129" s="89"/>
      <c r="O129" s="89"/>
      <c r="P129" s="89"/>
      <c r="Q129" s="51"/>
      <c r="R129" s="51"/>
      <c r="S129" s="51"/>
      <c r="T129" s="51"/>
      <c r="U129" s="51"/>
      <c r="V129" s="51"/>
      <c r="W129" s="51"/>
      <c r="X129" s="51"/>
      <c r="Y129" s="51"/>
    </row>
    <row r="130" spans="1:25" ht="10.5">
      <c r="A130" s="49"/>
      <c r="B130" s="44"/>
      <c r="C130" s="45"/>
      <c r="D130" s="53"/>
      <c r="E130" s="45"/>
      <c r="F130" s="87">
        <f>F129*F124/F122</f>
        <v>1.3253333333333333</v>
      </c>
      <c r="G130" s="88"/>
      <c r="H130" s="88"/>
      <c r="I130" s="88"/>
      <c r="J130" s="89"/>
      <c r="K130" s="88"/>
      <c r="L130" s="90"/>
      <c r="M130" s="89"/>
      <c r="N130" s="89"/>
      <c r="O130" s="89"/>
      <c r="P130" s="89"/>
      <c r="Q130" s="51"/>
      <c r="R130" s="51"/>
      <c r="S130" s="51"/>
      <c r="T130" s="51"/>
      <c r="U130" s="51"/>
      <c r="V130" s="51"/>
      <c r="W130" s="51"/>
      <c r="X130" s="51"/>
      <c r="Y130" s="51"/>
    </row>
    <row r="131" spans="1:25" ht="10.5">
      <c r="A131" s="49"/>
      <c r="B131" s="44"/>
      <c r="C131" s="45"/>
      <c r="D131" s="53"/>
      <c r="E131" s="45"/>
      <c r="F131" s="88"/>
      <c r="G131" s="88"/>
      <c r="H131" s="88"/>
      <c r="I131" s="88"/>
      <c r="J131" s="89"/>
      <c r="K131" s="88"/>
      <c r="L131" s="90"/>
      <c r="M131" s="89"/>
      <c r="N131" s="89"/>
      <c r="O131" s="89"/>
      <c r="P131" s="89"/>
      <c r="Q131" s="51"/>
      <c r="R131" s="51"/>
      <c r="S131" s="51"/>
      <c r="T131" s="51"/>
      <c r="U131" s="51"/>
      <c r="V131" s="51"/>
      <c r="W131" s="51"/>
      <c r="X131" s="51"/>
      <c r="Y131" s="51"/>
    </row>
    <row r="132" spans="1:25" ht="10.5">
      <c r="A132" s="49"/>
      <c r="B132" s="44" t="s">
        <v>274</v>
      </c>
      <c r="C132" s="45" t="s">
        <v>347</v>
      </c>
      <c r="D132" s="53"/>
      <c r="E132" s="45"/>
      <c r="F132" s="50"/>
      <c r="G132" s="50"/>
      <c r="H132" s="50"/>
      <c r="I132" s="50"/>
      <c r="J132" s="51"/>
      <c r="K132" s="50"/>
      <c r="L132" s="52"/>
      <c r="M132" s="51"/>
      <c r="N132" s="51"/>
      <c r="O132" s="51"/>
      <c r="P132" s="51"/>
      <c r="Q132" s="51"/>
      <c r="R132" s="51"/>
      <c r="S132" s="51"/>
      <c r="T132" s="51"/>
      <c r="U132" s="51"/>
      <c r="V132" s="51"/>
      <c r="W132" s="51"/>
      <c r="X132" s="51"/>
      <c r="Y132" s="51"/>
    </row>
    <row r="133" spans="1:27" ht="11.25">
      <c r="A133" s="49"/>
      <c r="B133" s="44" t="s">
        <v>275</v>
      </c>
      <c r="C133" s="45" t="s">
        <v>173</v>
      </c>
      <c r="D133" s="53"/>
      <c r="E133" s="58"/>
      <c r="F133" s="120">
        <f>F255</f>
        <v>106</v>
      </c>
      <c r="G133" s="58">
        <v>106</v>
      </c>
      <c r="H133" s="58">
        <v>91.5</v>
      </c>
      <c r="I133" s="58">
        <v>94</v>
      </c>
      <c r="J133" s="71">
        <v>84</v>
      </c>
      <c r="K133" s="72">
        <v>69</v>
      </c>
      <c r="L133" s="73">
        <v>74</v>
      </c>
      <c r="M133" s="74">
        <v>69</v>
      </c>
      <c r="N133" s="74">
        <v>84</v>
      </c>
      <c r="O133" s="74">
        <v>102</v>
      </c>
      <c r="P133" s="74">
        <v>93</v>
      </c>
      <c r="Q133" s="51">
        <v>92</v>
      </c>
      <c r="R133" s="51">
        <v>93</v>
      </c>
      <c r="S133" s="51">
        <v>85</v>
      </c>
      <c r="T133" s="51">
        <v>95</v>
      </c>
      <c r="U133" s="51">
        <v>82</v>
      </c>
      <c r="V133" s="51">
        <v>126</v>
      </c>
      <c r="W133" s="51">
        <v>128</v>
      </c>
      <c r="X133" s="51">
        <v>130</v>
      </c>
      <c r="Y133" s="51">
        <v>130</v>
      </c>
      <c r="AA133" s="18">
        <v>1800</v>
      </c>
    </row>
    <row r="134" spans="1:27" ht="10.5">
      <c r="A134" s="49"/>
      <c r="B134" s="44" t="s">
        <v>276</v>
      </c>
      <c r="C134" s="45" t="s">
        <v>395</v>
      </c>
      <c r="D134" s="53"/>
      <c r="E134" s="45"/>
      <c r="F134" s="76">
        <f aca="true" t="shared" si="14" ref="F134:Y134">F133/F122</f>
        <v>0.07066666666666667</v>
      </c>
      <c r="G134" s="76">
        <f t="shared" si="14"/>
        <v>0.058888888888888886</v>
      </c>
      <c r="H134" s="77">
        <f t="shared" si="14"/>
        <v>0.050833333333333335</v>
      </c>
      <c r="I134" s="77">
        <f t="shared" si="14"/>
        <v>0.052222222222222225</v>
      </c>
      <c r="J134" s="78">
        <f t="shared" si="14"/>
        <v>0.04666666666666667</v>
      </c>
      <c r="K134" s="77">
        <f t="shared" si="14"/>
        <v>0.03833333333333333</v>
      </c>
      <c r="L134" s="79">
        <f t="shared" si="14"/>
        <v>0.04111111111111111</v>
      </c>
      <c r="M134" s="78">
        <f t="shared" si="14"/>
        <v>0.03833333333333333</v>
      </c>
      <c r="N134" s="78">
        <f t="shared" si="14"/>
        <v>0.04666666666666667</v>
      </c>
      <c r="O134" s="78">
        <f t="shared" si="14"/>
        <v>0.056666666666666664</v>
      </c>
      <c r="P134" s="78">
        <f t="shared" si="14"/>
        <v>0.051666666666666666</v>
      </c>
      <c r="Q134" s="78">
        <f t="shared" si="14"/>
        <v>0.051111111111111114</v>
      </c>
      <c r="R134" s="78">
        <f t="shared" si="14"/>
        <v>0.051666666666666666</v>
      </c>
      <c r="S134" s="78">
        <f t="shared" si="14"/>
        <v>0.04722222222222222</v>
      </c>
      <c r="T134" s="78">
        <f t="shared" si="14"/>
        <v>0.05277777777777778</v>
      </c>
      <c r="U134" s="78">
        <f t="shared" si="14"/>
        <v>0.04555555555555556</v>
      </c>
      <c r="V134" s="78">
        <f t="shared" si="14"/>
        <v>0.07</v>
      </c>
      <c r="W134" s="78">
        <f t="shared" si="14"/>
        <v>0.07111111111111111</v>
      </c>
      <c r="X134" s="78">
        <f t="shared" si="14"/>
        <v>0.07222222222222222</v>
      </c>
      <c r="Y134" s="78">
        <f t="shared" si="14"/>
        <v>0.07222222222222222</v>
      </c>
      <c r="AA134" s="18">
        <f>AA133/AA127</f>
        <v>77.14285714285714</v>
      </c>
    </row>
    <row r="135" spans="1:25" ht="11.25">
      <c r="A135" s="49"/>
      <c r="B135" s="44" t="s">
        <v>156</v>
      </c>
      <c r="C135" s="45" t="s">
        <v>173</v>
      </c>
      <c r="D135" s="53"/>
      <c r="E135" s="45"/>
      <c r="F135" s="86">
        <f aca="true" t="shared" si="15" ref="F135:Y135">F126*F134</f>
        <v>4.452</v>
      </c>
      <c r="G135" s="86">
        <f t="shared" si="15"/>
        <v>5.594444444444444</v>
      </c>
      <c r="H135" s="56">
        <f t="shared" si="15"/>
        <v>4.829166666666667</v>
      </c>
      <c r="I135" s="56">
        <f t="shared" si="15"/>
        <v>4.961111111111111</v>
      </c>
      <c r="J135" s="57">
        <f t="shared" si="15"/>
        <v>4.433333333333334</v>
      </c>
      <c r="K135" s="56">
        <f t="shared" si="15"/>
        <v>3.6416666666666666</v>
      </c>
      <c r="L135" s="83">
        <f t="shared" si="15"/>
        <v>3.9055555555555554</v>
      </c>
      <c r="M135" s="57">
        <f t="shared" si="15"/>
        <v>3.6416666666666666</v>
      </c>
      <c r="N135" s="57">
        <f t="shared" si="15"/>
        <v>4.433333333333334</v>
      </c>
      <c r="O135" s="57">
        <f t="shared" si="15"/>
        <v>5.383333333333333</v>
      </c>
      <c r="P135" s="57">
        <f t="shared" si="15"/>
        <v>4.908333333333333</v>
      </c>
      <c r="Q135" s="57">
        <f t="shared" si="15"/>
        <v>4.6000000000000005</v>
      </c>
      <c r="R135" s="57">
        <f t="shared" si="15"/>
        <v>4.65</v>
      </c>
      <c r="S135" s="57">
        <f t="shared" si="15"/>
        <v>4.25</v>
      </c>
      <c r="T135" s="57">
        <f t="shared" si="15"/>
        <v>4.75</v>
      </c>
      <c r="U135" s="57">
        <f t="shared" si="15"/>
        <v>4.1000000000000005</v>
      </c>
      <c r="V135" s="57">
        <f t="shared" si="15"/>
        <v>5.6000000000000005</v>
      </c>
      <c r="W135" s="57">
        <f t="shared" si="15"/>
        <v>5.688888888888889</v>
      </c>
      <c r="X135" s="57">
        <f t="shared" si="15"/>
        <v>4.838888888888889</v>
      </c>
      <c r="Y135" s="57">
        <f t="shared" si="15"/>
        <v>4.838888888888889</v>
      </c>
    </row>
    <row r="136" spans="1:25" ht="11.25">
      <c r="A136" s="49"/>
      <c r="B136" s="44" t="s">
        <v>279</v>
      </c>
      <c r="C136" s="45" t="s">
        <v>173</v>
      </c>
      <c r="D136" s="53"/>
      <c r="E136" s="45"/>
      <c r="F136" s="86">
        <f>F129*F134</f>
        <v>5.017333333333333</v>
      </c>
      <c r="G136" s="56"/>
      <c r="H136" s="56"/>
      <c r="I136" s="56"/>
      <c r="J136" s="57"/>
      <c r="K136" s="56"/>
      <c r="L136" s="83"/>
      <c r="M136" s="57"/>
      <c r="N136" s="57"/>
      <c r="O136" s="57"/>
      <c r="P136" s="57"/>
      <c r="Q136" s="57"/>
      <c r="R136" s="57"/>
      <c r="S136" s="57"/>
      <c r="T136" s="57"/>
      <c r="U136" s="57"/>
      <c r="V136" s="57"/>
      <c r="W136" s="57"/>
      <c r="X136" s="57"/>
      <c r="Y136" s="57"/>
    </row>
    <row r="137" spans="1:25" ht="11.25">
      <c r="A137" s="49"/>
      <c r="B137" s="44"/>
      <c r="C137" s="45"/>
      <c r="D137" s="53"/>
      <c r="E137" s="45"/>
      <c r="F137" s="56"/>
      <c r="G137" s="56"/>
      <c r="H137" s="56"/>
      <c r="I137" s="56"/>
      <c r="J137" s="57"/>
      <c r="K137" s="56"/>
      <c r="L137" s="83"/>
      <c r="M137" s="57"/>
      <c r="N137" s="57"/>
      <c r="O137" s="57"/>
      <c r="P137" s="57"/>
      <c r="Q137" s="57"/>
      <c r="R137" s="57"/>
      <c r="S137" s="57"/>
      <c r="T137" s="57"/>
      <c r="U137" s="57"/>
      <c r="V137" s="57"/>
      <c r="W137" s="57"/>
      <c r="X137" s="57"/>
      <c r="Y137" s="57"/>
    </row>
    <row r="138" spans="1:25" ht="11.25">
      <c r="A138" s="49"/>
      <c r="B138" s="44"/>
      <c r="C138" s="45"/>
      <c r="D138" s="53"/>
      <c r="E138" s="45"/>
      <c r="F138" s="56"/>
      <c r="G138" s="56"/>
      <c r="H138" s="56"/>
      <c r="I138" s="56"/>
      <c r="J138" s="57"/>
      <c r="K138" s="56"/>
      <c r="L138" s="83"/>
      <c r="M138" s="57"/>
      <c r="N138" s="57"/>
      <c r="O138" s="57"/>
      <c r="P138" s="57"/>
      <c r="Q138" s="57"/>
      <c r="R138" s="57"/>
      <c r="S138" s="57"/>
      <c r="T138" s="57"/>
      <c r="U138" s="57"/>
      <c r="V138" s="57"/>
      <c r="W138" s="57"/>
      <c r="X138" s="57"/>
      <c r="Y138" s="57"/>
    </row>
    <row r="139" spans="1:25" ht="11.25">
      <c r="A139" s="49"/>
      <c r="B139" s="44"/>
      <c r="C139" s="45"/>
      <c r="D139" s="53"/>
      <c r="E139" s="45"/>
      <c r="F139" s="56"/>
      <c r="G139" s="56"/>
      <c r="H139" s="56"/>
      <c r="I139" s="56"/>
      <c r="J139" s="57"/>
      <c r="K139" s="56"/>
      <c r="L139" s="83"/>
      <c r="M139" s="57"/>
      <c r="N139" s="57"/>
      <c r="O139" s="57"/>
      <c r="P139" s="57"/>
      <c r="Q139" s="57"/>
      <c r="R139" s="57"/>
      <c r="S139" s="57"/>
      <c r="T139" s="57"/>
      <c r="U139" s="57"/>
      <c r="V139" s="57"/>
      <c r="W139" s="57"/>
      <c r="X139" s="57"/>
      <c r="Y139" s="57"/>
    </row>
    <row r="140" spans="1:25" ht="11.25">
      <c r="A140" s="49"/>
      <c r="B140" s="44"/>
      <c r="C140" s="45"/>
      <c r="D140" s="53"/>
      <c r="E140" s="45"/>
      <c r="F140" s="56"/>
      <c r="G140" s="56"/>
      <c r="H140" s="56"/>
      <c r="I140" s="56"/>
      <c r="J140" s="57"/>
      <c r="K140" s="56"/>
      <c r="L140" s="83"/>
      <c r="M140" s="57"/>
      <c r="N140" s="57"/>
      <c r="O140" s="57"/>
      <c r="P140" s="57"/>
      <c r="Q140" s="57"/>
      <c r="R140" s="57"/>
      <c r="S140" s="57"/>
      <c r="T140" s="57"/>
      <c r="U140" s="57"/>
      <c r="V140" s="57"/>
      <c r="W140" s="57"/>
      <c r="X140" s="57"/>
      <c r="Y140" s="57"/>
    </row>
    <row r="141" spans="1:25" ht="11.25">
      <c r="A141" s="49"/>
      <c r="B141" s="44"/>
      <c r="C141" s="45"/>
      <c r="D141" s="53"/>
      <c r="E141" s="45"/>
      <c r="F141" s="56"/>
      <c r="G141" s="56"/>
      <c r="H141" s="56"/>
      <c r="I141" s="56"/>
      <c r="J141" s="57"/>
      <c r="K141" s="56"/>
      <c r="L141" s="83"/>
      <c r="M141" s="57"/>
      <c r="N141" s="57"/>
      <c r="O141" s="57"/>
      <c r="P141" s="57"/>
      <c r="Q141" s="57"/>
      <c r="R141" s="57"/>
      <c r="S141" s="57"/>
      <c r="T141" s="57"/>
      <c r="U141" s="57"/>
      <c r="V141" s="57"/>
      <c r="W141" s="57"/>
      <c r="X141" s="57"/>
      <c r="Y141" s="57"/>
    </row>
    <row r="142" spans="1:25" ht="11.25">
      <c r="A142" s="43" t="s">
        <v>278</v>
      </c>
      <c r="B142" s="44"/>
      <c r="C142" s="45"/>
      <c r="D142" s="53"/>
      <c r="E142" s="45"/>
      <c r="F142" s="46"/>
      <c r="G142" s="46"/>
      <c r="H142" s="46"/>
      <c r="I142" s="46"/>
      <c r="J142" s="47"/>
      <c r="K142" s="46"/>
      <c r="L142" s="48"/>
      <c r="M142" s="47"/>
      <c r="N142" s="47"/>
      <c r="O142" s="47"/>
      <c r="P142" s="47"/>
      <c r="Q142" s="47"/>
      <c r="R142" s="47"/>
      <c r="S142" s="47"/>
      <c r="T142" s="47"/>
      <c r="U142" s="47"/>
      <c r="V142" s="47"/>
      <c r="W142" s="47"/>
      <c r="X142" s="47"/>
      <c r="Y142" s="47"/>
    </row>
    <row r="143" spans="1:25" ht="10.5">
      <c r="A143" s="49"/>
      <c r="B143" s="44" t="s">
        <v>218</v>
      </c>
      <c r="C143" s="45"/>
      <c r="D143" s="53"/>
      <c r="E143" s="45"/>
      <c r="F143" s="46"/>
      <c r="G143" s="46"/>
      <c r="H143" s="46"/>
      <c r="I143" s="46"/>
      <c r="J143" s="47"/>
      <c r="K143" s="46"/>
      <c r="L143" s="48"/>
      <c r="M143" s="47"/>
      <c r="N143" s="47"/>
      <c r="O143" s="47"/>
      <c r="P143" s="47"/>
      <c r="Q143" s="47"/>
      <c r="R143" s="47"/>
      <c r="S143" s="47"/>
      <c r="T143" s="47"/>
      <c r="U143" s="47"/>
      <c r="V143" s="47"/>
      <c r="W143" s="47"/>
      <c r="X143" s="47"/>
      <c r="Y143" s="47"/>
    </row>
    <row r="144" spans="1:25" ht="10.5">
      <c r="A144" s="49"/>
      <c r="B144" s="44" t="s">
        <v>219</v>
      </c>
      <c r="C144" s="45"/>
      <c r="D144" s="53"/>
      <c r="E144" s="45"/>
      <c r="F144" s="46"/>
      <c r="G144" s="46"/>
      <c r="H144" s="46"/>
      <c r="I144" s="46"/>
      <c r="J144" s="47"/>
      <c r="K144" s="46"/>
      <c r="L144" s="48"/>
      <c r="M144" s="47"/>
      <c r="N144" s="47"/>
      <c r="O144" s="47"/>
      <c r="P144" s="47"/>
      <c r="Q144" s="47"/>
      <c r="R144" s="47"/>
      <c r="S144" s="47"/>
      <c r="T144" s="47"/>
      <c r="U144" s="47"/>
      <c r="V144" s="47"/>
      <c r="W144" s="47"/>
      <c r="X144" s="47"/>
      <c r="Y144" s="47"/>
    </row>
    <row r="145" spans="1:25" ht="10.5">
      <c r="A145" s="49"/>
      <c r="B145" s="44" t="s">
        <v>250</v>
      </c>
      <c r="C145" s="45"/>
      <c r="D145" s="53"/>
      <c r="E145" s="45"/>
      <c r="F145" s="46"/>
      <c r="G145" s="46"/>
      <c r="H145" s="46"/>
      <c r="I145" s="46"/>
      <c r="J145" s="47"/>
      <c r="K145" s="46"/>
      <c r="L145" s="48"/>
      <c r="M145" s="47"/>
      <c r="N145" s="47"/>
      <c r="O145" s="47"/>
      <c r="P145" s="47"/>
      <c r="Q145" s="47"/>
      <c r="R145" s="47"/>
      <c r="S145" s="47"/>
      <c r="T145" s="47"/>
      <c r="U145" s="47"/>
      <c r="V145" s="47"/>
      <c r="W145" s="47"/>
      <c r="X145" s="47"/>
      <c r="Y145" s="47"/>
    </row>
    <row r="146" spans="1:25" ht="10.5">
      <c r="A146" s="49"/>
      <c r="B146" s="44" t="s">
        <v>400</v>
      </c>
      <c r="C146" s="45" t="s">
        <v>439</v>
      </c>
      <c r="D146" s="53"/>
      <c r="E146" s="45"/>
      <c r="F146" s="50">
        <v>1500</v>
      </c>
      <c r="G146" s="50">
        <v>1800</v>
      </c>
      <c r="H146" s="50">
        <v>1800</v>
      </c>
      <c r="I146" s="50">
        <v>1800</v>
      </c>
      <c r="J146" s="51">
        <v>1800</v>
      </c>
      <c r="K146" s="50">
        <v>1800</v>
      </c>
      <c r="L146" s="52">
        <v>1800</v>
      </c>
      <c r="M146" s="51">
        <v>1800</v>
      </c>
      <c r="N146" s="51">
        <v>1800</v>
      </c>
      <c r="O146" s="51">
        <v>1800</v>
      </c>
      <c r="P146" s="51">
        <v>1800</v>
      </c>
      <c r="Q146" s="51"/>
      <c r="R146" s="51"/>
      <c r="S146" s="51"/>
      <c r="T146" s="51"/>
      <c r="U146" s="51"/>
      <c r="V146" s="51"/>
      <c r="W146" s="51"/>
      <c r="X146" s="51"/>
      <c r="Y146" s="51"/>
    </row>
    <row r="147" spans="1:25" ht="10.5">
      <c r="A147" s="49"/>
      <c r="B147" s="44" t="s">
        <v>401</v>
      </c>
      <c r="C147" s="45" t="s">
        <v>439</v>
      </c>
      <c r="D147" s="53"/>
      <c r="E147" s="45"/>
      <c r="F147" s="50">
        <v>0.25</v>
      </c>
      <c r="G147" s="50">
        <v>0.25</v>
      </c>
      <c r="H147" s="50">
        <v>0.25</v>
      </c>
      <c r="I147" s="50">
        <v>0.25</v>
      </c>
      <c r="J147" s="51">
        <v>0.25</v>
      </c>
      <c r="K147" s="50">
        <v>0.25</v>
      </c>
      <c r="L147" s="52">
        <v>0.25</v>
      </c>
      <c r="M147" s="51">
        <v>0.25</v>
      </c>
      <c r="N147" s="51">
        <v>0.25</v>
      </c>
      <c r="O147" s="51">
        <v>0.25</v>
      </c>
      <c r="P147" s="51">
        <v>0.25</v>
      </c>
      <c r="Q147" s="51"/>
      <c r="R147" s="51"/>
      <c r="S147" s="51"/>
      <c r="T147" s="51"/>
      <c r="U147" s="51"/>
      <c r="V147" s="51"/>
      <c r="W147" s="51"/>
      <c r="X147" s="51"/>
      <c r="Y147" s="51"/>
    </row>
    <row r="148" spans="1:25" ht="10.5">
      <c r="A148" s="49"/>
      <c r="B148" s="44" t="s">
        <v>402</v>
      </c>
      <c r="C148" s="45" t="s">
        <v>181</v>
      </c>
      <c r="D148" s="53"/>
      <c r="E148" s="45"/>
      <c r="F148" s="50">
        <v>9.25</v>
      </c>
      <c r="G148" s="50">
        <v>11.1</v>
      </c>
      <c r="H148" s="50">
        <v>11.1</v>
      </c>
      <c r="I148" s="50">
        <v>11.1</v>
      </c>
      <c r="J148" s="51">
        <v>11.1</v>
      </c>
      <c r="K148" s="50">
        <v>11.1</v>
      </c>
      <c r="L148" s="52">
        <v>11.1</v>
      </c>
      <c r="M148" s="51">
        <v>11.1</v>
      </c>
      <c r="N148" s="51">
        <v>11.1</v>
      </c>
      <c r="O148" s="51">
        <v>11.1</v>
      </c>
      <c r="P148" s="51">
        <v>11.1</v>
      </c>
      <c r="Q148" s="51"/>
      <c r="R148" s="51"/>
      <c r="S148" s="51"/>
      <c r="T148" s="51"/>
      <c r="U148" s="51"/>
      <c r="V148" s="51"/>
      <c r="W148" s="51"/>
      <c r="X148" s="51"/>
      <c r="Y148" s="51"/>
    </row>
    <row r="149" spans="1:25" ht="10.5">
      <c r="A149" s="49"/>
      <c r="B149" s="44"/>
      <c r="C149" s="45"/>
      <c r="D149" s="53"/>
      <c r="E149" s="45"/>
      <c r="F149" s="50"/>
      <c r="G149" s="50"/>
      <c r="H149" s="50"/>
      <c r="I149" s="50"/>
      <c r="J149" s="51"/>
      <c r="K149" s="50"/>
      <c r="L149" s="52"/>
      <c r="M149" s="51"/>
      <c r="N149" s="51"/>
      <c r="O149" s="51"/>
      <c r="P149" s="51"/>
      <c r="Q149" s="51"/>
      <c r="R149" s="51"/>
      <c r="S149" s="51"/>
      <c r="T149" s="51"/>
      <c r="U149" s="51"/>
      <c r="V149" s="51"/>
      <c r="W149" s="51"/>
      <c r="X149" s="51"/>
      <c r="Y149" s="51"/>
    </row>
    <row r="150" spans="1:25" ht="10.5">
      <c r="A150" s="49"/>
      <c r="B150" s="44" t="s">
        <v>273</v>
      </c>
      <c r="C150" s="45" t="s">
        <v>257</v>
      </c>
      <c r="D150" s="53"/>
      <c r="E150" s="45"/>
      <c r="F150" s="50">
        <v>50</v>
      </c>
      <c r="G150" s="50">
        <v>50</v>
      </c>
      <c r="H150" s="50">
        <v>50</v>
      </c>
      <c r="I150" s="50">
        <v>50</v>
      </c>
      <c r="J150" s="51">
        <v>50</v>
      </c>
      <c r="K150" s="50">
        <v>50</v>
      </c>
      <c r="L150" s="52">
        <v>50</v>
      </c>
      <c r="M150" s="51">
        <v>50</v>
      </c>
      <c r="N150" s="51">
        <v>50</v>
      </c>
      <c r="O150" s="51">
        <v>50</v>
      </c>
      <c r="P150" s="51">
        <v>50</v>
      </c>
      <c r="Q150" s="51"/>
      <c r="R150" s="51"/>
      <c r="S150" s="51"/>
      <c r="T150" s="51"/>
      <c r="U150" s="51"/>
      <c r="V150" s="51"/>
      <c r="W150" s="51"/>
      <c r="X150" s="51"/>
      <c r="Y150" s="51"/>
    </row>
    <row r="151" spans="1:25" ht="10.5">
      <c r="A151" s="49"/>
      <c r="B151" s="44"/>
      <c r="C151" s="45"/>
      <c r="D151" s="53"/>
      <c r="E151" s="45"/>
      <c r="F151" s="91">
        <f aca="true" t="shared" si="16" ref="F151:P151">F148/F146*F150</f>
        <v>0.30833333333333335</v>
      </c>
      <c r="G151" s="91">
        <f t="shared" si="16"/>
        <v>0.30833333333333335</v>
      </c>
      <c r="H151" s="92">
        <f t="shared" si="16"/>
        <v>0.30833333333333335</v>
      </c>
      <c r="I151" s="92">
        <f t="shared" si="16"/>
        <v>0.30833333333333335</v>
      </c>
      <c r="J151" s="93">
        <f t="shared" si="16"/>
        <v>0.30833333333333335</v>
      </c>
      <c r="K151" s="92">
        <f t="shared" si="16"/>
        <v>0.30833333333333335</v>
      </c>
      <c r="L151" s="94">
        <f t="shared" si="16"/>
        <v>0.30833333333333335</v>
      </c>
      <c r="M151" s="93">
        <f t="shared" si="16"/>
        <v>0.30833333333333335</v>
      </c>
      <c r="N151" s="93">
        <f t="shared" si="16"/>
        <v>0.30833333333333335</v>
      </c>
      <c r="O151" s="93">
        <f t="shared" si="16"/>
        <v>0.30833333333333335</v>
      </c>
      <c r="P151" s="93">
        <f t="shared" si="16"/>
        <v>0.30833333333333335</v>
      </c>
      <c r="Q151" s="51"/>
      <c r="R151" s="51"/>
      <c r="S151" s="51"/>
      <c r="T151" s="51"/>
      <c r="U151" s="51"/>
      <c r="V151" s="51"/>
      <c r="W151" s="51"/>
      <c r="X151" s="51"/>
      <c r="Y151" s="51"/>
    </row>
    <row r="152" spans="1:25" ht="10.5">
      <c r="A152" s="49"/>
      <c r="B152" s="44" t="s">
        <v>274</v>
      </c>
      <c r="C152" s="45" t="s">
        <v>347</v>
      </c>
      <c r="D152" s="53"/>
      <c r="E152" s="45"/>
      <c r="F152" s="50"/>
      <c r="G152" s="50"/>
      <c r="H152" s="50"/>
      <c r="I152" s="50"/>
      <c r="J152" s="51"/>
      <c r="K152" s="50"/>
      <c r="L152" s="52"/>
      <c r="M152" s="51"/>
      <c r="N152" s="51"/>
      <c r="O152" s="51"/>
      <c r="P152" s="51"/>
      <c r="Q152" s="51"/>
      <c r="R152" s="51"/>
      <c r="S152" s="51"/>
      <c r="T152" s="51"/>
      <c r="U152" s="51"/>
      <c r="V152" s="51"/>
      <c r="W152" s="51"/>
      <c r="X152" s="51"/>
      <c r="Y152" s="51"/>
    </row>
    <row r="153" spans="1:25" ht="11.25">
      <c r="A153" s="49"/>
      <c r="B153" s="44" t="s">
        <v>275</v>
      </c>
      <c r="C153" s="45" t="s">
        <v>173</v>
      </c>
      <c r="D153" s="53"/>
      <c r="E153" s="58"/>
      <c r="F153" s="58">
        <v>41</v>
      </c>
      <c r="G153" s="58">
        <v>53</v>
      </c>
      <c r="H153" s="58">
        <v>51</v>
      </c>
      <c r="I153" s="58">
        <v>51</v>
      </c>
      <c r="J153" s="71">
        <v>52</v>
      </c>
      <c r="K153" s="72">
        <v>39</v>
      </c>
      <c r="L153" s="73">
        <v>42</v>
      </c>
      <c r="M153" s="74">
        <v>39</v>
      </c>
      <c r="N153" s="74">
        <v>46</v>
      </c>
      <c r="O153" s="74">
        <v>56</v>
      </c>
      <c r="P153" s="74">
        <v>51</v>
      </c>
      <c r="Q153" s="51"/>
      <c r="R153" s="51"/>
      <c r="S153" s="51"/>
      <c r="T153" s="51"/>
      <c r="U153" s="51"/>
      <c r="V153" s="51"/>
      <c r="W153" s="51"/>
      <c r="X153" s="51"/>
      <c r="Y153" s="51"/>
    </row>
    <row r="154" spans="1:25" ht="10.5">
      <c r="A154" s="49"/>
      <c r="B154" s="44" t="s">
        <v>276</v>
      </c>
      <c r="C154" s="45" t="s">
        <v>395</v>
      </c>
      <c r="D154" s="53"/>
      <c r="E154" s="45"/>
      <c r="F154" s="76">
        <f aca="true" t="shared" si="17" ref="F154:P154">F153/F146</f>
        <v>0.027333333333333334</v>
      </c>
      <c r="G154" s="76">
        <f t="shared" si="17"/>
        <v>0.029444444444444443</v>
      </c>
      <c r="H154" s="77">
        <f t="shared" si="17"/>
        <v>0.028333333333333332</v>
      </c>
      <c r="I154" s="77">
        <f t="shared" si="17"/>
        <v>0.028333333333333332</v>
      </c>
      <c r="J154" s="78">
        <f t="shared" si="17"/>
        <v>0.028888888888888888</v>
      </c>
      <c r="K154" s="77">
        <f t="shared" si="17"/>
        <v>0.021666666666666667</v>
      </c>
      <c r="L154" s="79">
        <f t="shared" si="17"/>
        <v>0.023333333333333334</v>
      </c>
      <c r="M154" s="78">
        <f t="shared" si="17"/>
        <v>0.021666666666666667</v>
      </c>
      <c r="N154" s="78">
        <f t="shared" si="17"/>
        <v>0.025555555555555557</v>
      </c>
      <c r="O154" s="78">
        <f t="shared" si="17"/>
        <v>0.03111111111111111</v>
      </c>
      <c r="P154" s="78">
        <f t="shared" si="17"/>
        <v>0.028333333333333332</v>
      </c>
      <c r="Q154" s="78"/>
      <c r="R154" s="78"/>
      <c r="S154" s="78"/>
      <c r="T154" s="78"/>
      <c r="U154" s="78"/>
      <c r="V154" s="78"/>
      <c r="W154" s="78"/>
      <c r="X154" s="78"/>
      <c r="Y154" s="78"/>
    </row>
    <row r="155" spans="1:25" ht="11.25">
      <c r="A155" s="49"/>
      <c r="B155" s="44" t="s">
        <v>277</v>
      </c>
      <c r="C155" s="45" t="s">
        <v>173</v>
      </c>
      <c r="D155" s="53"/>
      <c r="E155" s="45"/>
      <c r="F155" s="86">
        <f aca="true" t="shared" si="18" ref="F155:P155">F150*F154</f>
        <v>1.3666666666666667</v>
      </c>
      <c r="G155" s="86">
        <f t="shared" si="18"/>
        <v>1.472222222222222</v>
      </c>
      <c r="H155" s="56">
        <f t="shared" si="18"/>
        <v>1.4166666666666665</v>
      </c>
      <c r="I155" s="56">
        <f t="shared" si="18"/>
        <v>1.4166666666666665</v>
      </c>
      <c r="J155" s="57">
        <f t="shared" si="18"/>
        <v>1.4444444444444444</v>
      </c>
      <c r="K155" s="56">
        <f t="shared" si="18"/>
        <v>1.0833333333333335</v>
      </c>
      <c r="L155" s="83">
        <f t="shared" si="18"/>
        <v>1.1666666666666667</v>
      </c>
      <c r="M155" s="57">
        <f t="shared" si="18"/>
        <v>1.0833333333333335</v>
      </c>
      <c r="N155" s="57">
        <f t="shared" si="18"/>
        <v>1.277777777777778</v>
      </c>
      <c r="O155" s="57">
        <f t="shared" si="18"/>
        <v>1.5555555555555556</v>
      </c>
      <c r="P155" s="57">
        <f t="shared" si="18"/>
        <v>1.4166666666666665</v>
      </c>
      <c r="Q155" s="57"/>
      <c r="R155" s="57"/>
      <c r="S155" s="57"/>
      <c r="T155" s="57"/>
      <c r="U155" s="57"/>
      <c r="V155" s="57"/>
      <c r="W155" s="57"/>
      <c r="X155" s="57"/>
      <c r="Y155" s="57"/>
    </row>
    <row r="156" spans="1:25" ht="11.25">
      <c r="A156" s="49"/>
      <c r="B156" s="44"/>
      <c r="C156" s="45" t="s">
        <v>220</v>
      </c>
      <c r="D156" s="53"/>
      <c r="E156" s="45"/>
      <c r="F156" s="56"/>
      <c r="G156" s="56"/>
      <c r="H156" s="56"/>
      <c r="I156" s="56"/>
      <c r="J156" s="57"/>
      <c r="K156" s="56"/>
      <c r="L156" s="83"/>
      <c r="M156" s="57"/>
      <c r="N156" s="57"/>
      <c r="O156" s="57"/>
      <c r="P156" s="57"/>
      <c r="Q156" s="57"/>
      <c r="R156" s="57"/>
      <c r="S156" s="57"/>
      <c r="T156" s="57"/>
      <c r="U156" s="57"/>
      <c r="V156" s="57"/>
      <c r="W156" s="57"/>
      <c r="X156" s="57"/>
      <c r="Y156" s="57"/>
    </row>
    <row r="157" spans="1:27" ht="11.25">
      <c r="A157" s="43" t="s">
        <v>221</v>
      </c>
      <c r="B157" s="44"/>
      <c r="C157" s="45"/>
      <c r="D157" s="53"/>
      <c r="E157" s="45"/>
      <c r="F157" s="46"/>
      <c r="G157" s="46"/>
      <c r="H157" s="46"/>
      <c r="I157" s="46"/>
      <c r="J157" s="47"/>
      <c r="K157" s="46"/>
      <c r="L157" s="48"/>
      <c r="M157" s="47"/>
      <c r="N157" s="47"/>
      <c r="O157" s="47"/>
      <c r="P157" s="47"/>
      <c r="Q157" s="47"/>
      <c r="R157" s="47"/>
      <c r="S157" s="47"/>
      <c r="T157" s="47"/>
      <c r="U157" s="47"/>
      <c r="V157" s="47"/>
      <c r="W157" s="47"/>
      <c r="X157" s="47"/>
      <c r="Y157" s="47"/>
      <c r="AA157" s="18">
        <v>1500</v>
      </c>
    </row>
    <row r="158" spans="1:27" ht="10.5">
      <c r="A158" s="49" t="s">
        <v>222</v>
      </c>
      <c r="B158" s="44"/>
      <c r="C158" s="45"/>
      <c r="D158" s="53"/>
      <c r="E158" s="45"/>
      <c r="F158" s="46"/>
      <c r="G158" s="46"/>
      <c r="H158" s="46"/>
      <c r="I158" s="46"/>
      <c r="J158" s="47"/>
      <c r="K158" s="46"/>
      <c r="L158" s="48"/>
      <c r="M158" s="47"/>
      <c r="N158" s="47"/>
      <c r="O158" s="47"/>
      <c r="P158" s="47"/>
      <c r="Q158" s="47"/>
      <c r="R158" s="47"/>
      <c r="S158" s="47"/>
      <c r="T158" s="47"/>
      <c r="U158" s="47"/>
      <c r="V158" s="47"/>
      <c r="W158" s="47"/>
      <c r="X158" s="47"/>
      <c r="Y158" s="47"/>
      <c r="AA158" s="18">
        <v>23</v>
      </c>
    </row>
    <row r="159" spans="1:27" ht="10.5">
      <c r="A159" s="49"/>
      <c r="B159" s="44" t="s">
        <v>223</v>
      </c>
      <c r="C159" s="45"/>
      <c r="D159" s="53"/>
      <c r="E159" s="45"/>
      <c r="F159" s="46"/>
      <c r="G159" s="46"/>
      <c r="H159" s="46"/>
      <c r="I159" s="46"/>
      <c r="J159" s="47"/>
      <c r="K159" s="46"/>
      <c r="L159" s="48"/>
      <c r="M159" s="47"/>
      <c r="N159" s="47"/>
      <c r="O159" s="47"/>
      <c r="P159" s="47"/>
      <c r="Q159" s="47"/>
      <c r="R159" s="47"/>
      <c r="S159" s="47"/>
      <c r="T159" s="47"/>
      <c r="U159" s="47"/>
      <c r="V159" s="47"/>
      <c r="W159" s="47"/>
      <c r="X159" s="47"/>
      <c r="Y159" s="47"/>
      <c r="AA159" s="18">
        <f>AA157/AA158</f>
        <v>65.21739130434783</v>
      </c>
    </row>
    <row r="160" spans="1:25" ht="10.5">
      <c r="A160" s="49"/>
      <c r="B160" s="44" t="s">
        <v>224</v>
      </c>
      <c r="C160" s="45"/>
      <c r="D160" s="53"/>
      <c r="E160" s="45"/>
      <c r="F160" s="46"/>
      <c r="G160" s="46"/>
      <c r="H160" s="46"/>
      <c r="I160" s="46"/>
      <c r="J160" s="47"/>
      <c r="K160" s="46"/>
      <c r="L160" s="48"/>
      <c r="M160" s="47"/>
      <c r="N160" s="47"/>
      <c r="O160" s="47"/>
      <c r="P160" s="47"/>
      <c r="Q160" s="47"/>
      <c r="R160" s="47"/>
      <c r="S160" s="47"/>
      <c r="T160" s="47"/>
      <c r="U160" s="47"/>
      <c r="V160" s="47"/>
      <c r="W160" s="47"/>
      <c r="X160" s="47"/>
      <c r="Y160" s="47"/>
    </row>
    <row r="161" spans="1:25" ht="10.5">
      <c r="A161" s="49" t="s">
        <v>225</v>
      </c>
      <c r="B161" s="44"/>
      <c r="C161" s="45"/>
      <c r="D161" s="53"/>
      <c r="E161" s="45"/>
      <c r="F161" s="46"/>
      <c r="G161" s="46"/>
      <c r="H161" s="46"/>
      <c r="I161" s="46"/>
      <c r="J161" s="47"/>
      <c r="K161" s="46"/>
      <c r="L161" s="48"/>
      <c r="M161" s="47"/>
      <c r="N161" s="47"/>
      <c r="O161" s="47"/>
      <c r="P161" s="47"/>
      <c r="Q161" s="47"/>
      <c r="R161" s="47"/>
      <c r="S161" s="47"/>
      <c r="T161" s="47"/>
      <c r="U161" s="47"/>
      <c r="V161" s="47"/>
      <c r="W161" s="47"/>
      <c r="X161" s="47"/>
      <c r="Y161" s="47"/>
    </row>
    <row r="162" spans="1:25" ht="10.5">
      <c r="A162" s="49"/>
      <c r="B162" s="44" t="s">
        <v>281</v>
      </c>
      <c r="C162" s="45"/>
      <c r="D162" s="53"/>
      <c r="E162" s="45"/>
      <c r="F162" s="46"/>
      <c r="G162" s="46"/>
      <c r="H162" s="46"/>
      <c r="I162" s="46"/>
      <c r="J162" s="47"/>
      <c r="K162" s="46"/>
      <c r="L162" s="48"/>
      <c r="M162" s="47"/>
      <c r="N162" s="47"/>
      <c r="O162" s="47"/>
      <c r="P162" s="47"/>
      <c r="Q162" s="47"/>
      <c r="R162" s="47"/>
      <c r="S162" s="47"/>
      <c r="T162" s="47"/>
      <c r="U162" s="47"/>
      <c r="V162" s="47"/>
      <c r="W162" s="47"/>
      <c r="X162" s="47"/>
      <c r="Y162" s="47"/>
    </row>
    <row r="163" spans="1:25" ht="10.5">
      <c r="A163" s="49"/>
      <c r="B163" s="44" t="s">
        <v>271</v>
      </c>
      <c r="C163" s="45"/>
      <c r="D163" s="53"/>
      <c r="E163" s="45"/>
      <c r="F163" s="46"/>
      <c r="G163" s="46"/>
      <c r="H163" s="46"/>
      <c r="I163" s="46"/>
      <c r="J163" s="47"/>
      <c r="K163" s="46"/>
      <c r="L163" s="48"/>
      <c r="M163" s="47"/>
      <c r="N163" s="47"/>
      <c r="O163" s="47"/>
      <c r="P163" s="47"/>
      <c r="Q163" s="47"/>
      <c r="R163" s="47"/>
      <c r="S163" s="47"/>
      <c r="T163" s="47"/>
      <c r="U163" s="47"/>
      <c r="V163" s="47"/>
      <c r="W163" s="47"/>
      <c r="X163" s="47"/>
      <c r="Y163" s="47"/>
    </row>
    <row r="164" spans="1:25" ht="10.5">
      <c r="A164" s="49"/>
      <c r="B164" s="44" t="s">
        <v>282</v>
      </c>
      <c r="C164" s="45"/>
      <c r="D164" s="53"/>
      <c r="E164" s="45"/>
      <c r="F164" s="46"/>
      <c r="G164" s="46"/>
      <c r="H164" s="46"/>
      <c r="I164" s="46"/>
      <c r="J164" s="47"/>
      <c r="K164" s="46"/>
      <c r="L164" s="48"/>
      <c r="M164" s="47"/>
      <c r="N164" s="47"/>
      <c r="O164" s="47"/>
      <c r="P164" s="47"/>
      <c r="Q164" s="47"/>
      <c r="R164" s="47"/>
      <c r="S164" s="47"/>
      <c r="T164" s="47"/>
      <c r="U164" s="47"/>
      <c r="V164" s="47"/>
      <c r="W164" s="47"/>
      <c r="X164" s="47"/>
      <c r="Y164" s="47"/>
    </row>
    <row r="165" spans="1:25" ht="10.5">
      <c r="A165" s="49"/>
      <c r="B165" s="44" t="s">
        <v>250</v>
      </c>
      <c r="C165" s="45"/>
      <c r="D165" s="53"/>
      <c r="E165" s="45"/>
      <c r="F165" s="46"/>
      <c r="G165" s="46"/>
      <c r="H165" s="46"/>
      <c r="I165" s="46"/>
      <c r="J165" s="47"/>
      <c r="K165" s="46"/>
      <c r="L165" s="48"/>
      <c r="M165" s="47"/>
      <c r="N165" s="47"/>
      <c r="O165" s="47"/>
      <c r="P165" s="47"/>
      <c r="Q165" s="47"/>
      <c r="R165" s="47"/>
      <c r="S165" s="47"/>
      <c r="T165" s="47"/>
      <c r="U165" s="47"/>
      <c r="V165" s="47"/>
      <c r="W165" s="47"/>
      <c r="X165" s="47"/>
      <c r="Y165" s="47"/>
    </row>
    <row r="166" spans="1:25" ht="10.5">
      <c r="A166" s="49"/>
      <c r="B166" s="44" t="s">
        <v>400</v>
      </c>
      <c r="C166" s="45" t="s">
        <v>439</v>
      </c>
      <c r="D166" s="53"/>
      <c r="E166" s="45"/>
      <c r="F166" s="50">
        <v>1500</v>
      </c>
      <c r="G166" s="50">
        <v>1500</v>
      </c>
      <c r="H166" s="50">
        <v>1500</v>
      </c>
      <c r="I166" s="50">
        <v>1500</v>
      </c>
      <c r="J166" s="51">
        <v>1500</v>
      </c>
      <c r="K166" s="50">
        <v>1500</v>
      </c>
      <c r="L166" s="52">
        <v>1500</v>
      </c>
      <c r="M166" s="51">
        <v>1500</v>
      </c>
      <c r="N166" s="51">
        <v>1500</v>
      </c>
      <c r="O166" s="51">
        <v>1500</v>
      </c>
      <c r="P166" s="51">
        <v>1500</v>
      </c>
      <c r="Q166" s="51">
        <v>1500</v>
      </c>
      <c r="R166" s="51">
        <v>1450</v>
      </c>
      <c r="S166" s="51">
        <v>1450</v>
      </c>
      <c r="T166" s="51">
        <v>1450</v>
      </c>
      <c r="U166" s="51">
        <v>1200</v>
      </c>
      <c r="V166" s="51">
        <v>1200</v>
      </c>
      <c r="W166" s="51"/>
      <c r="X166" s="51"/>
      <c r="Y166" s="51"/>
    </row>
    <row r="167" spans="1:25" ht="10.5">
      <c r="A167" s="49"/>
      <c r="B167" s="44" t="s">
        <v>401</v>
      </c>
      <c r="C167" s="45" t="s">
        <v>439</v>
      </c>
      <c r="D167" s="53"/>
      <c r="E167" s="45"/>
      <c r="F167" s="50">
        <v>0.75</v>
      </c>
      <c r="G167" s="50">
        <v>0.75</v>
      </c>
      <c r="H167" s="50">
        <v>0.75</v>
      </c>
      <c r="I167" s="50">
        <v>0.75</v>
      </c>
      <c r="J167" s="51">
        <v>0.75</v>
      </c>
      <c r="K167" s="50">
        <v>0.75</v>
      </c>
      <c r="L167" s="52">
        <v>0.75</v>
      </c>
      <c r="M167" s="51">
        <v>0.75</v>
      </c>
      <c r="N167" s="51">
        <v>0.75</v>
      </c>
      <c r="O167" s="51">
        <v>0.75</v>
      </c>
      <c r="P167" s="51">
        <v>0.75</v>
      </c>
      <c r="Q167" s="51">
        <v>0.75</v>
      </c>
      <c r="R167" s="51">
        <v>0.75</v>
      </c>
      <c r="S167" s="51">
        <v>0.75</v>
      </c>
      <c r="T167" s="51">
        <v>0.75</v>
      </c>
      <c r="U167" s="51">
        <v>0.75</v>
      </c>
      <c r="V167" s="51">
        <v>0.75</v>
      </c>
      <c r="W167" s="51"/>
      <c r="X167" s="51"/>
      <c r="Y167" s="51"/>
    </row>
    <row r="168" spans="1:25" ht="10.5">
      <c r="A168" s="49"/>
      <c r="B168" s="44" t="s">
        <v>402</v>
      </c>
      <c r="C168" s="45" t="s">
        <v>181</v>
      </c>
      <c r="D168" s="53"/>
      <c r="E168" s="45"/>
      <c r="F168" s="50">
        <v>28</v>
      </c>
      <c r="G168" s="50">
        <v>28</v>
      </c>
      <c r="H168" s="50">
        <v>28</v>
      </c>
      <c r="I168" s="50">
        <v>28</v>
      </c>
      <c r="J168" s="51">
        <v>28</v>
      </c>
      <c r="K168" s="50">
        <v>28</v>
      </c>
      <c r="L168" s="52">
        <v>28</v>
      </c>
      <c r="M168" s="51">
        <v>28</v>
      </c>
      <c r="N168" s="51">
        <v>28</v>
      </c>
      <c r="O168" s="51">
        <v>28</v>
      </c>
      <c r="P168" s="51">
        <v>28</v>
      </c>
      <c r="Q168" s="51">
        <v>20</v>
      </c>
      <c r="R168" s="51">
        <v>20</v>
      </c>
      <c r="S168" s="51">
        <v>20</v>
      </c>
      <c r="T168" s="51">
        <v>20</v>
      </c>
      <c r="U168" s="51">
        <v>20</v>
      </c>
      <c r="V168" s="51">
        <v>20</v>
      </c>
      <c r="W168" s="51"/>
      <c r="X168" s="51"/>
      <c r="Y168" s="51"/>
    </row>
    <row r="169" spans="1:25" ht="10.5">
      <c r="A169" s="49"/>
      <c r="B169" s="44"/>
      <c r="C169" s="45"/>
      <c r="D169" s="53"/>
      <c r="E169" s="45"/>
      <c r="F169" s="50"/>
      <c r="G169" s="50"/>
      <c r="H169" s="50"/>
      <c r="I169" s="50"/>
      <c r="J169" s="51"/>
      <c r="K169" s="50"/>
      <c r="L169" s="52"/>
      <c r="M169" s="51"/>
      <c r="N169" s="51"/>
      <c r="O169" s="51"/>
      <c r="P169" s="51"/>
      <c r="Q169" s="51"/>
      <c r="R169" s="51"/>
      <c r="S169" s="51"/>
      <c r="T169" s="51"/>
      <c r="U169" s="51"/>
      <c r="V169" s="51"/>
      <c r="W169" s="51"/>
      <c r="X169" s="51"/>
      <c r="Y169" s="51"/>
    </row>
    <row r="170" spans="1:26" ht="11.25">
      <c r="A170" s="49"/>
      <c r="B170" s="44" t="s">
        <v>273</v>
      </c>
      <c r="C170" s="45" t="s">
        <v>261</v>
      </c>
      <c r="D170" s="53"/>
      <c r="E170" s="45"/>
      <c r="F170" s="50">
        <v>70</v>
      </c>
      <c r="G170" s="50">
        <v>70</v>
      </c>
      <c r="H170" s="50">
        <v>70</v>
      </c>
      <c r="I170" s="50">
        <v>70</v>
      </c>
      <c r="J170" s="51">
        <v>70</v>
      </c>
      <c r="K170" s="50">
        <v>70</v>
      </c>
      <c r="L170" s="52">
        <v>70</v>
      </c>
      <c r="M170" s="51">
        <v>70</v>
      </c>
      <c r="N170" s="51">
        <v>70</v>
      </c>
      <c r="O170" s="51">
        <v>70</v>
      </c>
      <c r="P170" s="51">
        <v>70</v>
      </c>
      <c r="Q170" s="51">
        <v>70</v>
      </c>
      <c r="R170" s="51">
        <v>70</v>
      </c>
      <c r="S170" s="51">
        <v>70</v>
      </c>
      <c r="T170" s="51">
        <v>70</v>
      </c>
      <c r="U170" s="51">
        <v>70</v>
      </c>
      <c r="V170" s="51">
        <v>70</v>
      </c>
      <c r="W170" s="51"/>
      <c r="X170" s="51"/>
      <c r="Y170" s="51"/>
      <c r="Z170" s="95" t="s">
        <v>283</v>
      </c>
    </row>
    <row r="171" spans="1:27" ht="10.5">
      <c r="A171" s="49"/>
      <c r="B171" s="44"/>
      <c r="C171" s="45"/>
      <c r="D171" s="53"/>
      <c r="E171" s="45"/>
      <c r="F171" s="50"/>
      <c r="G171" s="50"/>
      <c r="H171" s="50"/>
      <c r="I171" s="50"/>
      <c r="J171" s="51"/>
      <c r="K171" s="50"/>
      <c r="L171" s="52"/>
      <c r="M171" s="51"/>
      <c r="N171" s="51"/>
      <c r="O171" s="51"/>
      <c r="P171" s="51"/>
      <c r="Q171" s="51"/>
      <c r="R171" s="51"/>
      <c r="S171" s="51"/>
      <c r="T171" s="51"/>
      <c r="U171" s="51"/>
      <c r="V171" s="51"/>
      <c r="W171" s="51"/>
      <c r="X171" s="51"/>
      <c r="Y171" s="51"/>
      <c r="AA171" s="18" t="s">
        <v>284</v>
      </c>
    </row>
    <row r="172" spans="1:27" ht="10.5">
      <c r="A172" s="49"/>
      <c r="B172" s="44" t="s">
        <v>274</v>
      </c>
      <c r="C172" s="45" t="s">
        <v>347</v>
      </c>
      <c r="D172" s="53"/>
      <c r="E172" s="45"/>
      <c r="F172" s="50"/>
      <c r="G172" s="50"/>
      <c r="H172" s="50"/>
      <c r="I172" s="50"/>
      <c r="J172" s="51"/>
      <c r="K172" s="50"/>
      <c r="L172" s="52"/>
      <c r="M172" s="51"/>
      <c r="N172" s="51"/>
      <c r="O172" s="51"/>
      <c r="P172" s="51"/>
      <c r="Q172" s="51"/>
      <c r="R172" s="51"/>
      <c r="S172" s="51"/>
      <c r="T172" s="51"/>
      <c r="U172" s="51"/>
      <c r="V172" s="51"/>
      <c r="W172" s="51"/>
      <c r="X172" s="51"/>
      <c r="Y172" s="51"/>
      <c r="AA172" s="18">
        <v>93</v>
      </c>
    </row>
    <row r="173" spans="1:27" ht="11.25">
      <c r="A173" s="49"/>
      <c r="B173" s="44" t="s">
        <v>275</v>
      </c>
      <c r="C173" s="45" t="s">
        <v>173</v>
      </c>
      <c r="D173" s="53"/>
      <c r="E173" s="58"/>
      <c r="F173" s="58">
        <f>F133</f>
        <v>106</v>
      </c>
      <c r="G173" s="58">
        <v>127</v>
      </c>
      <c r="H173" s="58">
        <v>116</v>
      </c>
      <c r="I173" s="58">
        <v>113</v>
      </c>
      <c r="J173" s="71">
        <v>105</v>
      </c>
      <c r="K173" s="72">
        <v>86</v>
      </c>
      <c r="L173" s="73">
        <v>89</v>
      </c>
      <c r="M173" s="74">
        <v>85</v>
      </c>
      <c r="N173" s="74">
        <v>103</v>
      </c>
      <c r="O173" s="74">
        <v>128</v>
      </c>
      <c r="P173" s="74">
        <v>116</v>
      </c>
      <c r="Q173" s="51">
        <v>115</v>
      </c>
      <c r="R173" s="51">
        <v>112</v>
      </c>
      <c r="S173" s="51">
        <v>100</v>
      </c>
      <c r="T173" s="51">
        <v>115</v>
      </c>
      <c r="U173" s="51">
        <v>99</v>
      </c>
      <c r="V173" s="51">
        <v>126</v>
      </c>
      <c r="W173" s="51"/>
      <c r="X173" s="51"/>
      <c r="Y173" s="51"/>
      <c r="AA173" s="18">
        <v>1.075</v>
      </c>
    </row>
    <row r="174" spans="1:27" ht="10.5">
      <c r="A174" s="49"/>
      <c r="B174" s="44" t="s">
        <v>276</v>
      </c>
      <c r="C174" s="45" t="s">
        <v>395</v>
      </c>
      <c r="D174" s="53"/>
      <c r="E174" s="45"/>
      <c r="F174" s="76">
        <f aca="true" t="shared" si="19" ref="F174:V174">F173/F166</f>
        <v>0.07066666666666667</v>
      </c>
      <c r="G174" s="76">
        <f t="shared" si="19"/>
        <v>0.08466666666666667</v>
      </c>
      <c r="H174" s="77">
        <f t="shared" si="19"/>
        <v>0.07733333333333334</v>
      </c>
      <c r="I174" s="77">
        <f t="shared" si="19"/>
        <v>0.07533333333333334</v>
      </c>
      <c r="J174" s="78">
        <f t="shared" si="19"/>
        <v>0.07</v>
      </c>
      <c r="K174" s="77">
        <f t="shared" si="19"/>
        <v>0.05733333333333333</v>
      </c>
      <c r="L174" s="79">
        <f t="shared" si="19"/>
        <v>0.059333333333333335</v>
      </c>
      <c r="M174" s="78">
        <f t="shared" si="19"/>
        <v>0.056666666666666664</v>
      </c>
      <c r="N174" s="78">
        <f t="shared" si="19"/>
        <v>0.06866666666666667</v>
      </c>
      <c r="O174" s="78">
        <f t="shared" si="19"/>
        <v>0.08533333333333333</v>
      </c>
      <c r="P174" s="78">
        <f t="shared" si="19"/>
        <v>0.07733333333333334</v>
      </c>
      <c r="Q174" s="78">
        <f t="shared" si="19"/>
        <v>0.07666666666666666</v>
      </c>
      <c r="R174" s="78">
        <f t="shared" si="19"/>
        <v>0.07724137931034483</v>
      </c>
      <c r="S174" s="78">
        <f t="shared" si="19"/>
        <v>0.06896551724137931</v>
      </c>
      <c r="T174" s="78">
        <f t="shared" si="19"/>
        <v>0.07931034482758621</v>
      </c>
      <c r="U174" s="78">
        <f t="shared" si="19"/>
        <v>0.0825</v>
      </c>
      <c r="V174" s="78">
        <f t="shared" si="19"/>
        <v>0.105</v>
      </c>
      <c r="W174" s="78"/>
      <c r="X174" s="78"/>
      <c r="Y174" s="78"/>
      <c r="AA174" s="18">
        <f>AA172*AA173</f>
        <v>99.975</v>
      </c>
    </row>
    <row r="175" spans="1:25" ht="11.25">
      <c r="A175" s="49"/>
      <c r="B175" s="44" t="s">
        <v>285</v>
      </c>
      <c r="C175" s="45" t="s">
        <v>265</v>
      </c>
      <c r="D175" s="53"/>
      <c r="E175" s="45"/>
      <c r="F175" s="86">
        <f aca="true" t="shared" si="20" ref="F175:V175">F170*F174</f>
        <v>4.946666666666667</v>
      </c>
      <c r="G175" s="86">
        <f t="shared" si="20"/>
        <v>5.926666666666667</v>
      </c>
      <c r="H175" s="56">
        <f t="shared" si="20"/>
        <v>5.413333333333334</v>
      </c>
      <c r="I175" s="56">
        <f t="shared" si="20"/>
        <v>5.273333333333333</v>
      </c>
      <c r="J175" s="57">
        <f t="shared" si="20"/>
        <v>4.9</v>
      </c>
      <c r="K175" s="56">
        <f t="shared" si="20"/>
        <v>4.013333333333334</v>
      </c>
      <c r="L175" s="83">
        <f t="shared" si="20"/>
        <v>4.153333333333333</v>
      </c>
      <c r="M175" s="57">
        <f t="shared" si="20"/>
        <v>3.9666666666666663</v>
      </c>
      <c r="N175" s="57">
        <f t="shared" si="20"/>
        <v>4.806666666666667</v>
      </c>
      <c r="O175" s="57">
        <f t="shared" si="20"/>
        <v>5.973333333333333</v>
      </c>
      <c r="P175" s="57">
        <f t="shared" si="20"/>
        <v>5.413333333333334</v>
      </c>
      <c r="Q175" s="57">
        <f t="shared" si="20"/>
        <v>5.366666666666666</v>
      </c>
      <c r="R175" s="57">
        <f t="shared" si="20"/>
        <v>5.406896551724138</v>
      </c>
      <c r="S175" s="57">
        <f t="shared" si="20"/>
        <v>4.827586206896552</v>
      </c>
      <c r="T175" s="57">
        <f t="shared" si="20"/>
        <v>5.551724137931035</v>
      </c>
      <c r="U175" s="57">
        <f t="shared" si="20"/>
        <v>5.775</v>
      </c>
      <c r="V175" s="57">
        <f t="shared" si="20"/>
        <v>7.35</v>
      </c>
      <c r="W175" s="57"/>
      <c r="X175" s="57"/>
      <c r="Y175" s="57"/>
    </row>
    <row r="176" spans="1:25" ht="10.5">
      <c r="A176" s="49"/>
      <c r="B176" s="44"/>
      <c r="C176" s="45"/>
      <c r="D176" s="53"/>
      <c r="E176" s="45"/>
      <c r="F176" s="96"/>
      <c r="G176" s="96"/>
      <c r="H176" s="46"/>
      <c r="I176" s="46"/>
      <c r="J176" s="47"/>
      <c r="K176" s="46"/>
      <c r="L176" s="48"/>
      <c r="M176" s="47"/>
      <c r="N176" s="47"/>
      <c r="O176" s="47"/>
      <c r="P176" s="47"/>
      <c r="Q176" s="45"/>
      <c r="R176" s="45"/>
      <c r="S176" s="45"/>
      <c r="T176" s="45"/>
      <c r="U176" s="45"/>
      <c r="V176" s="45"/>
      <c r="W176" s="45"/>
      <c r="X176" s="45"/>
      <c r="Y176" s="45"/>
    </row>
    <row r="177" spans="1:25" ht="11.25">
      <c r="A177" s="43" t="s">
        <v>286</v>
      </c>
      <c r="B177" s="44"/>
      <c r="C177" s="45" t="s">
        <v>399</v>
      </c>
      <c r="D177" s="53"/>
      <c r="E177" s="45"/>
      <c r="F177" s="86">
        <f aca="true" t="shared" si="21" ref="F177:K177">F135+F110</f>
        <v>5.416225641025641</v>
      </c>
      <c r="G177" s="86">
        <f t="shared" si="21"/>
        <v>6.328136752136752</v>
      </c>
      <c r="H177" s="56">
        <f t="shared" si="21"/>
        <v>5.5453205128205125</v>
      </c>
      <c r="I177" s="56">
        <f t="shared" si="21"/>
        <v>5.6501777777777775</v>
      </c>
      <c r="J177" s="57">
        <f t="shared" si="21"/>
        <v>5.155333333333333</v>
      </c>
      <c r="K177" s="56">
        <f t="shared" si="21"/>
        <v>4.239533333333333</v>
      </c>
      <c r="L177" s="83">
        <v>4.55</v>
      </c>
      <c r="M177" s="57">
        <f>M135+M110</f>
        <v>4.231933333333333</v>
      </c>
      <c r="N177" s="57">
        <v>5.13</v>
      </c>
      <c r="O177" s="57">
        <v>6.13</v>
      </c>
      <c r="P177" s="47"/>
      <c r="Q177" s="45"/>
      <c r="R177" s="45"/>
      <c r="S177" s="45"/>
      <c r="T177" s="45"/>
      <c r="U177" s="45"/>
      <c r="V177" s="45"/>
      <c r="W177" s="45"/>
      <c r="X177" s="45"/>
      <c r="Y177" s="45"/>
    </row>
    <row r="178" spans="1:25" ht="11.25">
      <c r="A178" s="43"/>
      <c r="B178" s="44"/>
      <c r="C178" s="45"/>
      <c r="D178" s="53"/>
      <c r="E178" s="45"/>
      <c r="F178" s="56"/>
      <c r="G178" s="56"/>
      <c r="H178" s="56"/>
      <c r="I178" s="56"/>
      <c r="J178" s="57"/>
      <c r="K178" s="56"/>
      <c r="L178" s="83"/>
      <c r="M178" s="57"/>
      <c r="N178" s="57"/>
      <c r="O178" s="57"/>
      <c r="P178" s="47"/>
      <c r="Q178" s="45"/>
      <c r="R178" s="45"/>
      <c r="S178" s="45"/>
      <c r="T178" s="45"/>
      <c r="U178" s="45"/>
      <c r="V178" s="45"/>
      <c r="W178" s="45"/>
      <c r="X178" s="45"/>
      <c r="Y178" s="45"/>
    </row>
    <row r="179" spans="1:25" ht="11.25">
      <c r="A179" s="43" t="s">
        <v>287</v>
      </c>
      <c r="B179" s="44"/>
      <c r="C179" s="45"/>
      <c r="D179" s="53"/>
      <c r="E179" s="45"/>
      <c r="F179" s="56"/>
      <c r="G179" s="56"/>
      <c r="H179" s="56"/>
      <c r="I179" s="56"/>
      <c r="J179" s="57"/>
      <c r="K179" s="56"/>
      <c r="L179" s="83"/>
      <c r="M179" s="57"/>
      <c r="N179" s="57"/>
      <c r="O179" s="57"/>
      <c r="P179" s="47"/>
      <c r="Q179" s="45"/>
      <c r="R179" s="45"/>
      <c r="S179" s="45"/>
      <c r="T179" s="45"/>
      <c r="U179" s="45"/>
      <c r="V179" s="45"/>
      <c r="W179" s="45"/>
      <c r="X179" s="45"/>
      <c r="Y179" s="45"/>
    </row>
    <row r="180" spans="1:25" ht="11.25">
      <c r="A180" s="43"/>
      <c r="B180" s="44" t="s">
        <v>288</v>
      </c>
      <c r="C180" s="45"/>
      <c r="D180" s="53"/>
      <c r="E180" s="45"/>
      <c r="F180" s="50" t="s">
        <v>289</v>
      </c>
      <c r="G180" s="50" t="s">
        <v>289</v>
      </c>
      <c r="H180" s="50" t="s">
        <v>289</v>
      </c>
      <c r="I180" s="50" t="s">
        <v>289</v>
      </c>
      <c r="J180" s="51" t="s">
        <v>289</v>
      </c>
      <c r="K180" s="50" t="s">
        <v>289</v>
      </c>
      <c r="L180" s="52" t="s">
        <v>289</v>
      </c>
      <c r="M180" s="57"/>
      <c r="N180" s="57"/>
      <c r="O180" s="57"/>
      <c r="P180" s="47"/>
      <c r="Q180" s="45"/>
      <c r="R180" s="45"/>
      <c r="S180" s="45"/>
      <c r="T180" s="45"/>
      <c r="U180" s="45"/>
      <c r="V180" s="45"/>
      <c r="W180" s="45"/>
      <c r="X180" s="45"/>
      <c r="Y180" s="45"/>
    </row>
    <row r="181" spans="1:25" ht="11.25">
      <c r="A181" s="43"/>
      <c r="B181" s="44" t="s">
        <v>290</v>
      </c>
      <c r="C181" s="45"/>
      <c r="D181" s="53"/>
      <c r="E181" s="45"/>
      <c r="F181" s="97">
        <v>200</v>
      </c>
      <c r="G181" s="97">
        <v>200</v>
      </c>
      <c r="H181" s="97">
        <v>200</v>
      </c>
      <c r="I181" s="97">
        <v>200</v>
      </c>
      <c r="J181" s="98">
        <v>200</v>
      </c>
      <c r="K181" s="97">
        <v>200</v>
      </c>
      <c r="L181" s="99">
        <v>200</v>
      </c>
      <c r="M181" s="57"/>
      <c r="N181" s="57"/>
      <c r="O181" s="57"/>
      <c r="P181" s="47"/>
      <c r="Q181" s="45"/>
      <c r="R181" s="45"/>
      <c r="S181" s="45"/>
      <c r="T181" s="45"/>
      <c r="U181" s="45"/>
      <c r="V181" s="45"/>
      <c r="W181" s="45"/>
      <c r="X181" s="45"/>
      <c r="Y181" s="45"/>
    </row>
    <row r="182" spans="1:25" ht="11.25">
      <c r="A182" s="43"/>
      <c r="B182" s="44" t="s">
        <v>291</v>
      </c>
      <c r="C182" s="45" t="s">
        <v>173</v>
      </c>
      <c r="D182" s="53"/>
      <c r="E182" s="45"/>
      <c r="F182" s="58">
        <v>600</v>
      </c>
      <c r="G182" s="58">
        <v>1100</v>
      </c>
      <c r="H182" s="58">
        <v>1006</v>
      </c>
      <c r="I182" s="58">
        <v>980</v>
      </c>
      <c r="J182" s="71">
        <v>910</v>
      </c>
      <c r="K182" s="72">
        <v>800</v>
      </c>
      <c r="L182" s="73">
        <v>800</v>
      </c>
      <c r="M182" s="57"/>
      <c r="N182" s="57"/>
      <c r="O182" s="57"/>
      <c r="P182" s="47"/>
      <c r="Q182" s="45"/>
      <c r="R182" s="45"/>
      <c r="S182" s="45"/>
      <c r="T182" s="45"/>
      <c r="U182" s="45"/>
      <c r="V182" s="45"/>
      <c r="W182" s="45"/>
      <c r="X182" s="45"/>
      <c r="Y182" s="45"/>
    </row>
    <row r="183" spans="1:25" ht="11.25">
      <c r="A183" s="43"/>
      <c r="B183" s="44" t="s">
        <v>292</v>
      </c>
      <c r="C183" s="45" t="s">
        <v>353</v>
      </c>
      <c r="D183" s="53"/>
      <c r="E183" s="45"/>
      <c r="F183" s="86">
        <f aca="true" t="shared" si="22" ref="F183:L183">F182/F181</f>
        <v>3</v>
      </c>
      <c r="G183" s="86">
        <f t="shared" si="22"/>
        <v>5.5</v>
      </c>
      <c r="H183" s="56">
        <f t="shared" si="22"/>
        <v>5.03</v>
      </c>
      <c r="I183" s="56">
        <f t="shared" si="22"/>
        <v>4.9</v>
      </c>
      <c r="J183" s="57">
        <f t="shared" si="22"/>
        <v>4.55</v>
      </c>
      <c r="K183" s="56">
        <f t="shared" si="22"/>
        <v>4</v>
      </c>
      <c r="L183" s="83">
        <f t="shared" si="22"/>
        <v>4</v>
      </c>
      <c r="M183" s="57"/>
      <c r="N183" s="57"/>
      <c r="O183" s="57"/>
      <c r="P183" s="47"/>
      <c r="Q183" s="45"/>
      <c r="R183" s="45"/>
      <c r="S183" s="45"/>
      <c r="T183" s="45"/>
      <c r="U183" s="45"/>
      <c r="V183" s="45"/>
      <c r="W183" s="45"/>
      <c r="X183" s="45"/>
      <c r="Y183" s="45"/>
    </row>
    <row r="184" spans="1:25" ht="11.25">
      <c r="A184" s="43"/>
      <c r="B184" s="44"/>
      <c r="C184" s="45"/>
      <c r="D184" s="53"/>
      <c r="E184" s="45"/>
      <c r="F184" s="56"/>
      <c r="G184" s="56"/>
      <c r="H184" s="56"/>
      <c r="I184" s="56"/>
      <c r="J184" s="57"/>
      <c r="K184" s="56"/>
      <c r="L184" s="83"/>
      <c r="M184" s="57"/>
      <c r="N184" s="57"/>
      <c r="O184" s="57"/>
      <c r="P184" s="47"/>
      <c r="Q184" s="45"/>
      <c r="R184" s="45"/>
      <c r="S184" s="45"/>
      <c r="T184" s="45"/>
      <c r="U184" s="45"/>
      <c r="V184" s="45"/>
      <c r="W184" s="45"/>
      <c r="X184" s="45"/>
      <c r="Y184" s="45"/>
    </row>
    <row r="185" spans="1:25" ht="11.25">
      <c r="A185" s="43" t="s">
        <v>293</v>
      </c>
      <c r="B185" s="44"/>
      <c r="C185" s="45"/>
      <c r="D185" s="53"/>
      <c r="E185" s="45"/>
      <c r="F185" s="46"/>
      <c r="G185" s="46"/>
      <c r="H185" s="46"/>
      <c r="I185" s="46"/>
      <c r="J185" s="47"/>
      <c r="K185" s="46"/>
      <c r="L185" s="48"/>
      <c r="M185" s="47"/>
      <c r="N185" s="47"/>
      <c r="O185" s="47"/>
      <c r="P185" s="47"/>
      <c r="Q185" s="45"/>
      <c r="R185" s="45"/>
      <c r="S185" s="45"/>
      <c r="T185" s="45"/>
      <c r="U185" s="45"/>
      <c r="V185" s="45"/>
      <c r="W185" s="45"/>
      <c r="X185" s="45"/>
      <c r="Y185" s="45"/>
    </row>
    <row r="186" spans="1:25" ht="11.25">
      <c r="A186" s="49" t="s">
        <v>186</v>
      </c>
      <c r="B186" s="44"/>
      <c r="C186" s="45" t="s">
        <v>158</v>
      </c>
      <c r="D186" s="53"/>
      <c r="E186" s="45"/>
      <c r="F186" s="58">
        <v>5.5</v>
      </c>
      <c r="G186" s="58">
        <v>7</v>
      </c>
      <c r="H186" s="58">
        <v>6.6</v>
      </c>
      <c r="I186" s="58">
        <v>7.6</v>
      </c>
      <c r="J186" s="71">
        <v>7.5</v>
      </c>
      <c r="K186" s="72">
        <v>7.6</v>
      </c>
      <c r="L186" s="73">
        <v>7.6</v>
      </c>
      <c r="M186" s="74">
        <v>7.6</v>
      </c>
      <c r="N186" s="51">
        <v>6.4</v>
      </c>
      <c r="O186" s="51">
        <v>6.5</v>
      </c>
      <c r="P186" s="51">
        <v>5.8</v>
      </c>
      <c r="Q186" s="53">
        <v>7</v>
      </c>
      <c r="R186" s="53">
        <v>6.5</v>
      </c>
      <c r="S186" s="53">
        <v>6.5</v>
      </c>
      <c r="T186" s="53">
        <v>6.5</v>
      </c>
      <c r="U186" s="53">
        <v>6.5</v>
      </c>
      <c r="V186" s="53">
        <v>6.5</v>
      </c>
      <c r="W186" s="53">
        <v>6.5</v>
      </c>
      <c r="X186" s="53">
        <v>5</v>
      </c>
      <c r="Y186" s="53">
        <v>5</v>
      </c>
    </row>
    <row r="187" spans="1:25" ht="10.5">
      <c r="A187" s="49" t="s">
        <v>294</v>
      </c>
      <c r="B187" s="44"/>
      <c r="C187" s="45"/>
      <c r="D187" s="53"/>
      <c r="E187" s="45"/>
      <c r="F187" s="50"/>
      <c r="G187" s="50"/>
      <c r="H187" s="50"/>
      <c r="I187" s="50"/>
      <c r="J187" s="51"/>
      <c r="K187" s="50"/>
      <c r="L187" s="52"/>
      <c r="M187" s="51"/>
      <c r="N187" s="51"/>
      <c r="O187" s="51"/>
      <c r="P187" s="51"/>
      <c r="Q187" s="53"/>
      <c r="R187" s="53"/>
      <c r="S187" s="53"/>
      <c r="T187" s="53"/>
      <c r="U187" s="53"/>
      <c r="V187" s="53"/>
      <c r="W187" s="53"/>
      <c r="X187" s="53"/>
      <c r="Y187" s="53"/>
    </row>
    <row r="188" spans="1:25" ht="10.5">
      <c r="A188" s="49"/>
      <c r="B188" s="44" t="s">
        <v>444</v>
      </c>
      <c r="C188" s="100"/>
      <c r="D188" s="53"/>
      <c r="E188" s="100"/>
      <c r="F188" s="101">
        <v>0.32</v>
      </c>
      <c r="G188" s="101">
        <v>0.32</v>
      </c>
      <c r="H188" s="101">
        <v>0.32</v>
      </c>
      <c r="I188" s="101">
        <v>0.32</v>
      </c>
      <c r="J188" s="102">
        <v>0.32</v>
      </c>
      <c r="K188" s="101">
        <v>0.32</v>
      </c>
      <c r="L188" s="100">
        <v>0.32</v>
      </c>
      <c r="M188" s="102">
        <v>0.32</v>
      </c>
      <c r="N188" s="102">
        <v>0.32</v>
      </c>
      <c r="O188" s="102">
        <v>0.32</v>
      </c>
      <c r="P188" s="51"/>
      <c r="Q188" s="53"/>
      <c r="R188" s="53"/>
      <c r="S188" s="53"/>
      <c r="T188" s="53"/>
      <c r="U188" s="53"/>
      <c r="V188" s="53"/>
      <c r="W188" s="53"/>
      <c r="X188" s="53"/>
      <c r="Y188" s="53"/>
    </row>
    <row r="189" spans="1:25" ht="10.5">
      <c r="A189" s="49"/>
      <c r="B189" s="44" t="s">
        <v>445</v>
      </c>
      <c r="C189" s="100"/>
      <c r="D189" s="53"/>
      <c r="E189" s="100"/>
      <c r="F189" s="101">
        <v>0.54</v>
      </c>
      <c r="G189" s="101">
        <v>0.54</v>
      </c>
      <c r="H189" s="101">
        <v>0.54</v>
      </c>
      <c r="I189" s="101">
        <v>0.54</v>
      </c>
      <c r="J189" s="102">
        <v>0.54</v>
      </c>
      <c r="K189" s="101">
        <v>0.54</v>
      </c>
      <c r="L189" s="100">
        <v>0.54</v>
      </c>
      <c r="M189" s="102">
        <v>0.54</v>
      </c>
      <c r="N189" s="102">
        <v>0.54</v>
      </c>
      <c r="O189" s="102">
        <v>0.54</v>
      </c>
      <c r="P189" s="51"/>
      <c r="Q189" s="53"/>
      <c r="R189" s="53"/>
      <c r="S189" s="53"/>
      <c r="T189" s="53"/>
      <c r="U189" s="53"/>
      <c r="V189" s="53"/>
      <c r="W189" s="53"/>
      <c r="X189" s="53"/>
      <c r="Y189" s="53"/>
    </row>
    <row r="190" spans="1:25" ht="10.5">
      <c r="A190" s="49"/>
      <c r="B190" s="44" t="s">
        <v>446</v>
      </c>
      <c r="C190" s="100"/>
      <c r="D190" s="53"/>
      <c r="E190" s="100"/>
      <c r="F190" s="101">
        <v>0.63</v>
      </c>
      <c r="G190" s="101">
        <v>0.63</v>
      </c>
      <c r="H190" s="101">
        <v>0.63</v>
      </c>
      <c r="I190" s="101">
        <v>0.63</v>
      </c>
      <c r="J190" s="102">
        <v>0.63</v>
      </c>
      <c r="K190" s="101">
        <v>0.63</v>
      </c>
      <c r="L190" s="100">
        <v>0.63</v>
      </c>
      <c r="M190" s="102">
        <v>0.63</v>
      </c>
      <c r="N190" s="102">
        <v>0.63</v>
      </c>
      <c r="O190" s="102">
        <v>0.63</v>
      </c>
      <c r="P190" s="51"/>
      <c r="Q190" s="53"/>
      <c r="R190" s="53"/>
      <c r="S190" s="53"/>
      <c r="T190" s="53"/>
      <c r="U190" s="53"/>
      <c r="V190" s="53"/>
      <c r="W190" s="53"/>
      <c r="X190" s="53"/>
      <c r="Y190" s="53"/>
    </row>
    <row r="191" spans="1:25" ht="10.5">
      <c r="A191" s="49" t="s">
        <v>440</v>
      </c>
      <c r="B191" s="44"/>
      <c r="C191" s="45"/>
      <c r="D191" s="45"/>
      <c r="E191" s="45"/>
      <c r="F191" s="50"/>
      <c r="G191" s="50"/>
      <c r="H191" s="50"/>
      <c r="I191" s="50"/>
      <c r="J191" s="51"/>
      <c r="K191" s="50"/>
      <c r="L191" s="52"/>
      <c r="M191" s="51"/>
      <c r="N191" s="51"/>
      <c r="O191" s="51"/>
      <c r="P191" s="51"/>
      <c r="Q191" s="53"/>
      <c r="R191" s="53"/>
      <c r="S191" s="53"/>
      <c r="T191" s="53"/>
      <c r="U191" s="53"/>
      <c r="V191" s="53"/>
      <c r="W191" s="53"/>
      <c r="X191" s="53"/>
      <c r="Y191" s="53"/>
    </row>
    <row r="192" spans="1:25" ht="11.25">
      <c r="A192" s="49"/>
      <c r="B192" s="44" t="s">
        <v>295</v>
      </c>
      <c r="C192" s="45" t="s">
        <v>180</v>
      </c>
      <c r="D192" s="45"/>
      <c r="E192" s="45"/>
      <c r="F192" s="86">
        <f aca="true" t="shared" si="23" ref="F192:G194">F$186*F188</f>
        <v>1.76</v>
      </c>
      <c r="G192" s="86">
        <f t="shared" si="23"/>
        <v>2.24</v>
      </c>
      <c r="H192" s="50">
        <f aca="true" t="shared" si="24" ref="H192:O194">H$186*H188</f>
        <v>2.112</v>
      </c>
      <c r="I192" s="50">
        <f t="shared" si="24"/>
        <v>2.432</v>
      </c>
      <c r="J192" s="51">
        <f t="shared" si="24"/>
        <v>2.4</v>
      </c>
      <c r="K192" s="50">
        <f t="shared" si="24"/>
        <v>2.432</v>
      </c>
      <c r="L192" s="52">
        <f t="shared" si="24"/>
        <v>2.432</v>
      </c>
      <c r="M192" s="51">
        <f t="shared" si="24"/>
        <v>2.432</v>
      </c>
      <c r="N192" s="51">
        <f t="shared" si="24"/>
        <v>2.048</v>
      </c>
      <c r="O192" s="51">
        <f t="shared" si="24"/>
        <v>2.08</v>
      </c>
      <c r="P192" s="51"/>
      <c r="Q192" s="53"/>
      <c r="R192" s="53"/>
      <c r="S192" s="53"/>
      <c r="T192" s="53"/>
      <c r="U192" s="53"/>
      <c r="V192" s="53"/>
      <c r="W192" s="53"/>
      <c r="X192" s="53"/>
      <c r="Y192" s="53"/>
    </row>
    <row r="193" spans="1:25" ht="11.25">
      <c r="A193" s="49"/>
      <c r="B193" s="44" t="s">
        <v>296</v>
      </c>
      <c r="C193" s="45" t="s">
        <v>180</v>
      </c>
      <c r="D193" s="45"/>
      <c r="E193" s="45"/>
      <c r="F193" s="86">
        <f t="shared" si="23"/>
        <v>2.97</v>
      </c>
      <c r="G193" s="86">
        <f t="shared" si="23"/>
        <v>3.7800000000000002</v>
      </c>
      <c r="H193" s="50">
        <f t="shared" si="24"/>
        <v>3.564</v>
      </c>
      <c r="I193" s="50">
        <f t="shared" si="24"/>
        <v>4.104</v>
      </c>
      <c r="J193" s="51">
        <f t="shared" si="24"/>
        <v>4.050000000000001</v>
      </c>
      <c r="K193" s="50">
        <f t="shared" si="24"/>
        <v>4.104</v>
      </c>
      <c r="L193" s="52">
        <f t="shared" si="24"/>
        <v>4.104</v>
      </c>
      <c r="M193" s="51">
        <f t="shared" si="24"/>
        <v>4.104</v>
      </c>
      <c r="N193" s="51">
        <f t="shared" si="24"/>
        <v>3.4560000000000004</v>
      </c>
      <c r="O193" s="51">
        <f t="shared" si="24"/>
        <v>3.5100000000000002</v>
      </c>
      <c r="P193" s="51"/>
      <c r="Q193" s="53"/>
      <c r="R193" s="53"/>
      <c r="S193" s="53"/>
      <c r="T193" s="53"/>
      <c r="U193" s="53"/>
      <c r="V193" s="53"/>
      <c r="W193" s="53"/>
      <c r="X193" s="53"/>
      <c r="Y193" s="53"/>
    </row>
    <row r="194" spans="1:25" ht="11.25">
      <c r="A194" s="49"/>
      <c r="B194" s="44" t="s">
        <v>297</v>
      </c>
      <c r="C194" s="45" t="s">
        <v>180</v>
      </c>
      <c r="D194" s="45"/>
      <c r="E194" s="45"/>
      <c r="F194" s="86">
        <f t="shared" si="23"/>
        <v>3.465</v>
      </c>
      <c r="G194" s="86">
        <f t="shared" si="23"/>
        <v>4.41</v>
      </c>
      <c r="H194" s="50">
        <f t="shared" si="24"/>
        <v>4.1579999999999995</v>
      </c>
      <c r="I194" s="50">
        <f t="shared" si="24"/>
        <v>4.787999999999999</v>
      </c>
      <c r="J194" s="51">
        <f t="shared" si="24"/>
        <v>4.725</v>
      </c>
      <c r="K194" s="50">
        <f t="shared" si="24"/>
        <v>4.787999999999999</v>
      </c>
      <c r="L194" s="52">
        <f t="shared" si="24"/>
        <v>4.787999999999999</v>
      </c>
      <c r="M194" s="51">
        <f t="shared" si="24"/>
        <v>4.787999999999999</v>
      </c>
      <c r="N194" s="51">
        <f t="shared" si="24"/>
        <v>4.032</v>
      </c>
      <c r="O194" s="51">
        <f t="shared" si="24"/>
        <v>4.095</v>
      </c>
      <c r="P194" s="51"/>
      <c r="Q194" s="53"/>
      <c r="R194" s="53"/>
      <c r="S194" s="53"/>
      <c r="T194" s="53"/>
      <c r="U194" s="53"/>
      <c r="V194" s="53"/>
      <c r="W194" s="53"/>
      <c r="X194" s="53"/>
      <c r="Y194" s="53"/>
    </row>
    <row r="195" spans="1:25" ht="10.5">
      <c r="A195" s="49"/>
      <c r="B195" s="44"/>
      <c r="C195" s="45"/>
      <c r="D195" s="45"/>
      <c r="E195" s="45"/>
      <c r="F195" s="50"/>
      <c r="G195" s="50"/>
      <c r="H195" s="50"/>
      <c r="I195" s="50"/>
      <c r="J195" s="51"/>
      <c r="K195" s="50"/>
      <c r="L195" s="52"/>
      <c r="M195" s="51"/>
      <c r="N195" s="51"/>
      <c r="O195" s="51"/>
      <c r="P195" s="51"/>
      <c r="Q195" s="53"/>
      <c r="R195" s="53"/>
      <c r="S195" s="53"/>
      <c r="T195" s="53"/>
      <c r="U195" s="53"/>
      <c r="V195" s="53"/>
      <c r="W195" s="53"/>
      <c r="X195" s="53"/>
      <c r="Y195" s="53"/>
    </row>
    <row r="196" spans="1:25" ht="10.5">
      <c r="A196" s="49"/>
      <c r="B196" s="44"/>
      <c r="C196" s="45"/>
      <c r="D196" s="45"/>
      <c r="E196" s="45"/>
      <c r="F196" s="46"/>
      <c r="G196" s="46"/>
      <c r="H196" s="46"/>
      <c r="I196" s="46"/>
      <c r="J196" s="47"/>
      <c r="K196" s="46"/>
      <c r="L196" s="48"/>
      <c r="M196" s="47"/>
      <c r="N196" s="47"/>
      <c r="O196" s="47"/>
      <c r="P196" s="47"/>
      <c r="Q196" s="45"/>
      <c r="R196" s="45"/>
      <c r="S196" s="45"/>
      <c r="T196" s="45"/>
      <c r="U196" s="45"/>
      <c r="V196" s="45"/>
      <c r="W196" s="45"/>
      <c r="X196" s="45"/>
      <c r="Y196" s="45"/>
    </row>
    <row r="197" spans="1:25" s="107" customFormat="1" ht="11.25">
      <c r="A197" s="43" t="s">
        <v>298</v>
      </c>
      <c r="B197" s="81"/>
      <c r="C197" s="103"/>
      <c r="D197" s="103"/>
      <c r="E197" s="103"/>
      <c r="F197" s="104"/>
      <c r="G197" s="104"/>
      <c r="H197" s="104"/>
      <c r="I197" s="104"/>
      <c r="J197" s="105"/>
      <c r="K197" s="104"/>
      <c r="L197" s="106"/>
      <c r="M197" s="105"/>
      <c r="N197" s="105"/>
      <c r="O197" s="105"/>
      <c r="P197" s="105"/>
      <c r="Q197" s="103"/>
      <c r="R197" s="103"/>
      <c r="S197" s="103"/>
      <c r="T197" s="103"/>
      <c r="U197" s="103"/>
      <c r="V197" s="103"/>
      <c r="W197" s="103"/>
      <c r="X197" s="103"/>
      <c r="Y197" s="103"/>
    </row>
    <row r="198" spans="1:25" ht="10.5">
      <c r="A198" s="49"/>
      <c r="B198" s="44" t="s">
        <v>299</v>
      </c>
      <c r="C198" s="45" t="s">
        <v>181</v>
      </c>
      <c r="D198" s="45"/>
      <c r="E198" s="45"/>
      <c r="F198" s="50">
        <v>16</v>
      </c>
      <c r="G198" s="50">
        <v>16</v>
      </c>
      <c r="H198" s="50">
        <v>16</v>
      </c>
      <c r="I198" s="50">
        <v>16</v>
      </c>
      <c r="J198" s="51">
        <v>16</v>
      </c>
      <c r="K198" s="50">
        <v>16</v>
      </c>
      <c r="L198" s="52">
        <v>16</v>
      </c>
      <c r="M198" s="51">
        <v>16</v>
      </c>
      <c r="N198" s="51">
        <v>16</v>
      </c>
      <c r="O198" s="51">
        <v>16</v>
      </c>
      <c r="P198" s="51">
        <v>16</v>
      </c>
      <c r="Q198" s="53">
        <v>16</v>
      </c>
      <c r="R198" s="53">
        <v>16</v>
      </c>
      <c r="S198" s="53">
        <v>16</v>
      </c>
      <c r="T198" s="53">
        <v>16</v>
      </c>
      <c r="U198" s="53">
        <v>16</v>
      </c>
      <c r="V198" s="53">
        <v>16</v>
      </c>
      <c r="W198" s="53">
        <v>16</v>
      </c>
      <c r="X198" s="53">
        <v>16</v>
      </c>
      <c r="Y198" s="53">
        <v>16</v>
      </c>
    </row>
    <row r="199" spans="1:25" ht="11.25">
      <c r="A199" s="49"/>
      <c r="B199" s="44" t="s">
        <v>186</v>
      </c>
      <c r="C199" s="45" t="s">
        <v>394</v>
      </c>
      <c r="D199" s="45"/>
      <c r="E199" s="45" t="s">
        <v>206</v>
      </c>
      <c r="F199" s="58">
        <v>4.5</v>
      </c>
      <c r="G199" s="58">
        <v>5.5</v>
      </c>
      <c r="H199" s="58">
        <v>5</v>
      </c>
      <c r="I199" s="58">
        <v>5</v>
      </c>
      <c r="J199" s="71">
        <v>5</v>
      </c>
      <c r="K199" s="72">
        <v>4.8</v>
      </c>
      <c r="L199" s="73">
        <v>4.8</v>
      </c>
      <c r="M199" s="51">
        <v>4.8</v>
      </c>
      <c r="N199" s="51">
        <v>4.8</v>
      </c>
      <c r="O199" s="51">
        <v>4.5</v>
      </c>
      <c r="P199" s="51">
        <v>4.5</v>
      </c>
      <c r="Q199" s="53">
        <v>4.5</v>
      </c>
      <c r="R199" s="53">
        <v>4.5</v>
      </c>
      <c r="S199" s="53">
        <v>4.5</v>
      </c>
      <c r="T199" s="53">
        <v>4.5</v>
      </c>
      <c r="U199" s="53">
        <v>4.5</v>
      </c>
      <c r="V199" s="53">
        <v>4.5</v>
      </c>
      <c r="W199" s="53">
        <v>4.5</v>
      </c>
      <c r="X199" s="53">
        <v>4.5</v>
      </c>
      <c r="Y199" s="53">
        <v>4.5</v>
      </c>
    </row>
    <row r="200" spans="1:25" ht="10.5">
      <c r="A200" s="49"/>
      <c r="B200" s="44" t="s">
        <v>300</v>
      </c>
      <c r="C200" s="45" t="s">
        <v>173</v>
      </c>
      <c r="D200" s="45"/>
      <c r="E200" s="45"/>
      <c r="F200" s="69">
        <f aca="true" t="shared" si="25" ref="F200:Y200">F199*F198</f>
        <v>72</v>
      </c>
      <c r="G200" s="69">
        <f t="shared" si="25"/>
        <v>88</v>
      </c>
      <c r="H200" s="50">
        <f t="shared" si="25"/>
        <v>80</v>
      </c>
      <c r="I200" s="50">
        <f t="shared" si="25"/>
        <v>80</v>
      </c>
      <c r="J200" s="51">
        <f t="shared" si="25"/>
        <v>80</v>
      </c>
      <c r="K200" s="50">
        <f t="shared" si="25"/>
        <v>76.8</v>
      </c>
      <c r="L200" s="52">
        <f t="shared" si="25"/>
        <v>76.8</v>
      </c>
      <c r="M200" s="51">
        <f t="shared" si="25"/>
        <v>76.8</v>
      </c>
      <c r="N200" s="51">
        <f t="shared" si="25"/>
        <v>76.8</v>
      </c>
      <c r="O200" s="51">
        <f t="shared" si="25"/>
        <v>72</v>
      </c>
      <c r="P200" s="51">
        <f t="shared" si="25"/>
        <v>72</v>
      </c>
      <c r="Q200" s="53">
        <f t="shared" si="25"/>
        <v>72</v>
      </c>
      <c r="R200" s="53">
        <f t="shared" si="25"/>
        <v>72</v>
      </c>
      <c r="S200" s="53">
        <f t="shared" si="25"/>
        <v>72</v>
      </c>
      <c r="T200" s="53">
        <f t="shared" si="25"/>
        <v>72</v>
      </c>
      <c r="U200" s="53">
        <f t="shared" si="25"/>
        <v>72</v>
      </c>
      <c r="V200" s="53">
        <f t="shared" si="25"/>
        <v>72</v>
      </c>
      <c r="W200" s="53">
        <f t="shared" si="25"/>
        <v>72</v>
      </c>
      <c r="X200" s="53">
        <f t="shared" si="25"/>
        <v>72</v>
      </c>
      <c r="Y200" s="53">
        <f t="shared" si="25"/>
        <v>72</v>
      </c>
    </row>
    <row r="201" spans="1:25" ht="10.5">
      <c r="A201" s="49"/>
      <c r="B201" s="44" t="s">
        <v>301</v>
      </c>
      <c r="C201" s="45" t="s">
        <v>164</v>
      </c>
      <c r="D201" s="45"/>
      <c r="E201" s="45"/>
      <c r="F201" s="51">
        <v>1800</v>
      </c>
      <c r="G201" s="69"/>
      <c r="H201" s="50"/>
      <c r="I201" s="50"/>
      <c r="J201" s="51"/>
      <c r="K201" s="50"/>
      <c r="L201" s="52"/>
      <c r="M201" s="51"/>
      <c r="N201" s="51"/>
      <c r="O201" s="51"/>
      <c r="P201" s="51"/>
      <c r="Q201" s="53"/>
      <c r="R201" s="53"/>
      <c r="S201" s="53"/>
      <c r="T201" s="53"/>
      <c r="U201" s="53"/>
      <c r="V201" s="53"/>
      <c r="W201" s="53"/>
      <c r="X201" s="53"/>
      <c r="Y201" s="53"/>
    </row>
    <row r="202" spans="1:25" ht="10.5">
      <c r="A202" s="49"/>
      <c r="B202" s="44" t="s">
        <v>301</v>
      </c>
      <c r="C202" s="45" t="s">
        <v>435</v>
      </c>
      <c r="D202" s="45"/>
      <c r="E202" s="45"/>
      <c r="F202" s="125">
        <v>0.01</v>
      </c>
      <c r="G202" s="69"/>
      <c r="H202" s="50"/>
      <c r="I202" s="50"/>
      <c r="J202" s="51"/>
      <c r="K202" s="50"/>
      <c r="L202" s="52"/>
      <c r="M202" s="51"/>
      <c r="N202" s="51"/>
      <c r="O202" s="51"/>
      <c r="P202" s="51"/>
      <c r="Q202" s="53"/>
      <c r="R202" s="53"/>
      <c r="S202" s="53"/>
      <c r="T202" s="53"/>
      <c r="U202" s="53"/>
      <c r="V202" s="53"/>
      <c r="W202" s="53"/>
      <c r="X202" s="53"/>
      <c r="Y202" s="53"/>
    </row>
    <row r="203" spans="1:25" ht="10.5">
      <c r="A203" s="49"/>
      <c r="B203" s="44" t="s">
        <v>301</v>
      </c>
      <c r="C203" s="45" t="s">
        <v>302</v>
      </c>
      <c r="D203" s="45"/>
      <c r="E203" s="45"/>
      <c r="F203" s="69">
        <f>F201*F202</f>
        <v>18</v>
      </c>
      <c r="G203" s="50">
        <v>35</v>
      </c>
      <c r="H203" s="50">
        <v>32</v>
      </c>
      <c r="I203" s="50">
        <v>32</v>
      </c>
      <c r="J203" s="51">
        <v>32</v>
      </c>
      <c r="K203" s="50">
        <v>32</v>
      </c>
      <c r="L203" s="52">
        <v>32</v>
      </c>
      <c r="M203" s="51">
        <v>32</v>
      </c>
      <c r="N203" s="51">
        <v>32</v>
      </c>
      <c r="O203" s="51">
        <v>28</v>
      </c>
      <c r="P203" s="51">
        <v>28</v>
      </c>
      <c r="Q203" s="53">
        <v>28</v>
      </c>
      <c r="R203" s="53">
        <v>28</v>
      </c>
      <c r="S203" s="53">
        <v>28</v>
      </c>
      <c r="T203" s="53">
        <v>28</v>
      </c>
      <c r="U203" s="53">
        <v>28</v>
      </c>
      <c r="V203" s="53">
        <v>28</v>
      </c>
      <c r="W203" s="53">
        <v>28</v>
      </c>
      <c r="X203" s="53">
        <v>28</v>
      </c>
      <c r="Y203" s="53">
        <v>28</v>
      </c>
    </row>
    <row r="204" spans="1:25" ht="11.25">
      <c r="A204" s="49"/>
      <c r="B204" s="44" t="s">
        <v>168</v>
      </c>
      <c r="C204" s="45" t="s">
        <v>302</v>
      </c>
      <c r="D204" s="45"/>
      <c r="E204" s="45"/>
      <c r="F204" s="86">
        <f>F200+F203</f>
        <v>90</v>
      </c>
      <c r="G204" s="86">
        <f aca="true" t="shared" si="26" ref="G204:Y204">SUM(G200:G203)</f>
        <v>123</v>
      </c>
      <c r="H204" s="56">
        <f t="shared" si="26"/>
        <v>112</v>
      </c>
      <c r="I204" s="56">
        <f t="shared" si="26"/>
        <v>112</v>
      </c>
      <c r="J204" s="57">
        <f t="shared" si="26"/>
        <v>112</v>
      </c>
      <c r="K204" s="56">
        <f t="shared" si="26"/>
        <v>108.8</v>
      </c>
      <c r="L204" s="83">
        <f t="shared" si="26"/>
        <v>108.8</v>
      </c>
      <c r="M204" s="57">
        <f t="shared" si="26"/>
        <v>108.8</v>
      </c>
      <c r="N204" s="57">
        <f t="shared" si="26"/>
        <v>108.8</v>
      </c>
      <c r="O204" s="57">
        <f t="shared" si="26"/>
        <v>100</v>
      </c>
      <c r="P204" s="57">
        <f t="shared" si="26"/>
        <v>100</v>
      </c>
      <c r="Q204" s="84">
        <f t="shared" si="26"/>
        <v>100</v>
      </c>
      <c r="R204" s="84">
        <f t="shared" si="26"/>
        <v>100</v>
      </c>
      <c r="S204" s="84">
        <f t="shared" si="26"/>
        <v>100</v>
      </c>
      <c r="T204" s="84">
        <f t="shared" si="26"/>
        <v>100</v>
      </c>
      <c r="U204" s="84">
        <f t="shared" si="26"/>
        <v>100</v>
      </c>
      <c r="V204" s="84">
        <f t="shared" si="26"/>
        <v>100</v>
      </c>
      <c r="W204" s="84">
        <f t="shared" si="26"/>
        <v>100</v>
      </c>
      <c r="X204" s="84">
        <f t="shared" si="26"/>
        <v>100</v>
      </c>
      <c r="Y204" s="84">
        <f t="shared" si="26"/>
        <v>100</v>
      </c>
    </row>
    <row r="205" spans="1:25" ht="10.5">
      <c r="A205" s="49"/>
      <c r="B205" s="44"/>
      <c r="C205" s="45"/>
      <c r="D205" s="45"/>
      <c r="E205" s="45"/>
      <c r="F205" s="50"/>
      <c r="G205" s="50"/>
      <c r="H205" s="50"/>
      <c r="I205" s="50"/>
      <c r="J205" s="51"/>
      <c r="K205" s="50"/>
      <c r="L205" s="52"/>
      <c r="M205" s="51"/>
      <c r="N205" s="51"/>
      <c r="O205" s="51"/>
      <c r="P205" s="51"/>
      <c r="Q205" s="53"/>
      <c r="R205" s="53"/>
      <c r="S205" s="53"/>
      <c r="T205" s="53"/>
      <c r="U205" s="53"/>
      <c r="V205" s="53"/>
      <c r="W205" s="53"/>
      <c r="X205" s="53"/>
      <c r="Y205" s="53"/>
    </row>
    <row r="206" spans="1:25" ht="10.5">
      <c r="A206" s="49"/>
      <c r="B206" s="44"/>
      <c r="C206" s="45"/>
      <c r="D206" s="45"/>
      <c r="E206" s="45"/>
      <c r="F206" s="46"/>
      <c r="G206" s="46"/>
      <c r="H206" s="46"/>
      <c r="I206" s="46"/>
      <c r="J206" s="47"/>
      <c r="K206" s="46"/>
      <c r="L206" s="48"/>
      <c r="M206" s="47"/>
      <c r="N206" s="47"/>
      <c r="O206" s="47"/>
      <c r="P206" s="47"/>
      <c r="Q206" s="45"/>
      <c r="R206" s="45"/>
      <c r="S206" s="45"/>
      <c r="T206" s="45"/>
      <c r="U206" s="45"/>
      <c r="V206" s="45"/>
      <c r="W206" s="45"/>
      <c r="X206" s="45"/>
      <c r="Y206" s="45"/>
    </row>
    <row r="207" spans="1:25" s="107" customFormat="1" ht="11.25">
      <c r="A207" s="43" t="s">
        <v>303</v>
      </c>
      <c r="B207" s="81"/>
      <c r="C207" s="103"/>
      <c r="D207" s="103"/>
      <c r="E207" s="103"/>
      <c r="F207" s="104"/>
      <c r="G207" s="104"/>
      <c r="H207" s="104"/>
      <c r="I207" s="104"/>
      <c r="J207" s="105"/>
      <c r="K207" s="104"/>
      <c r="L207" s="106"/>
      <c r="M207" s="105"/>
      <c r="N207" s="105"/>
      <c r="O207" s="105"/>
      <c r="P207" s="105"/>
      <c r="Q207" s="103"/>
      <c r="R207" s="103"/>
      <c r="S207" s="103"/>
      <c r="T207" s="103"/>
      <c r="U207" s="103"/>
      <c r="V207" s="103"/>
      <c r="W207" s="103"/>
      <c r="X207" s="103"/>
      <c r="Y207" s="103"/>
    </row>
    <row r="208" spans="1:25" ht="10.5">
      <c r="A208" s="49"/>
      <c r="B208" s="44" t="s">
        <v>304</v>
      </c>
      <c r="C208" s="45" t="s">
        <v>181</v>
      </c>
      <c r="D208" s="108"/>
      <c r="E208" s="45"/>
      <c r="F208" s="20">
        <v>10.5</v>
      </c>
      <c r="G208" s="20">
        <v>10.5</v>
      </c>
      <c r="H208" s="20">
        <v>10.5</v>
      </c>
      <c r="I208" s="20">
        <v>10.5</v>
      </c>
      <c r="J208" s="21">
        <v>10.5</v>
      </c>
      <c r="K208" s="20">
        <v>10.5</v>
      </c>
      <c r="L208" s="22">
        <v>10.5</v>
      </c>
      <c r="M208" s="21">
        <v>10.5</v>
      </c>
      <c r="N208" s="21">
        <v>10.5</v>
      </c>
      <c r="O208" s="21">
        <v>10.5</v>
      </c>
      <c r="P208" s="47">
        <v>10.5</v>
      </c>
      <c r="Q208" s="45">
        <v>10.5</v>
      </c>
      <c r="R208" s="45"/>
      <c r="S208" s="45"/>
      <c r="T208" s="45"/>
      <c r="U208" s="45"/>
      <c r="V208" s="45"/>
      <c r="W208" s="45"/>
      <c r="X208" s="45"/>
      <c r="Y208" s="45"/>
    </row>
    <row r="209" spans="1:25" ht="11.25">
      <c r="A209" s="49"/>
      <c r="B209" s="44" t="s">
        <v>305</v>
      </c>
      <c r="C209" s="45" t="s">
        <v>173</v>
      </c>
      <c r="D209" s="45"/>
      <c r="E209" s="45"/>
      <c r="F209" s="58">
        <v>39</v>
      </c>
      <c r="G209" s="58">
        <v>39</v>
      </c>
      <c r="H209" s="58">
        <v>39.1</v>
      </c>
      <c r="I209" s="58">
        <v>39</v>
      </c>
      <c r="J209" s="71">
        <v>38.5</v>
      </c>
      <c r="K209" s="72">
        <v>42</v>
      </c>
      <c r="L209" s="52">
        <v>42</v>
      </c>
      <c r="M209" s="51">
        <v>42</v>
      </c>
      <c r="N209" s="51">
        <v>38</v>
      </c>
      <c r="O209" s="51">
        <v>38</v>
      </c>
      <c r="P209" s="51">
        <v>38</v>
      </c>
      <c r="Q209" s="53">
        <v>38</v>
      </c>
      <c r="R209" s="45"/>
      <c r="S209" s="45"/>
      <c r="T209" s="45"/>
      <c r="U209" s="45"/>
      <c r="V209" s="45"/>
      <c r="W209" s="45"/>
      <c r="X209" s="45"/>
      <c r="Y209" s="45"/>
    </row>
    <row r="210" spans="1:25" ht="10.5">
      <c r="A210" s="49"/>
      <c r="B210" s="44" t="s">
        <v>306</v>
      </c>
      <c r="C210" s="45" t="s">
        <v>181</v>
      </c>
      <c r="D210" s="45"/>
      <c r="E210" s="45"/>
      <c r="F210" s="50">
        <v>110</v>
      </c>
      <c r="G210" s="50">
        <v>110</v>
      </c>
      <c r="H210" s="50">
        <v>110</v>
      </c>
      <c r="I210" s="50">
        <v>110</v>
      </c>
      <c r="J210" s="51">
        <v>110</v>
      </c>
      <c r="K210" s="50">
        <v>110</v>
      </c>
      <c r="L210" s="52">
        <v>110</v>
      </c>
      <c r="M210" s="51">
        <v>110</v>
      </c>
      <c r="N210" s="51">
        <v>110</v>
      </c>
      <c r="O210" s="51">
        <v>110</v>
      </c>
      <c r="P210" s="51">
        <v>110</v>
      </c>
      <c r="Q210" s="53">
        <v>110</v>
      </c>
      <c r="R210" s="53">
        <v>110</v>
      </c>
      <c r="S210" s="53">
        <v>110</v>
      </c>
      <c r="T210" s="53">
        <v>110</v>
      </c>
      <c r="U210" s="53"/>
      <c r="V210" s="53"/>
      <c r="W210" s="53"/>
      <c r="X210" s="53"/>
      <c r="Y210" s="53"/>
    </row>
    <row r="211" spans="1:25" ht="10.5">
      <c r="A211" s="49"/>
      <c r="B211" s="44" t="s">
        <v>186</v>
      </c>
      <c r="C211" s="45" t="s">
        <v>394</v>
      </c>
      <c r="D211" s="45"/>
      <c r="E211" s="45"/>
      <c r="F211" s="69">
        <f aca="true" t="shared" si="27" ref="F211:K211">F209/F208</f>
        <v>3.7142857142857144</v>
      </c>
      <c r="G211" s="69">
        <f t="shared" si="27"/>
        <v>3.7142857142857144</v>
      </c>
      <c r="H211" s="50">
        <f t="shared" si="27"/>
        <v>3.723809523809524</v>
      </c>
      <c r="I211" s="50">
        <f t="shared" si="27"/>
        <v>3.7142857142857144</v>
      </c>
      <c r="J211" s="51">
        <f t="shared" si="27"/>
        <v>3.6666666666666665</v>
      </c>
      <c r="K211" s="50">
        <f t="shared" si="27"/>
        <v>4</v>
      </c>
      <c r="L211" s="51">
        <f aca="true" t="shared" si="28" ref="L211:Q211">L209/L208</f>
        <v>4</v>
      </c>
      <c r="M211" s="51">
        <f t="shared" si="28"/>
        <v>4</v>
      </c>
      <c r="N211" s="51">
        <f t="shared" si="28"/>
        <v>3.619047619047619</v>
      </c>
      <c r="O211" s="51">
        <f t="shared" si="28"/>
        <v>3.619047619047619</v>
      </c>
      <c r="P211" s="51">
        <f t="shared" si="28"/>
        <v>3.619047619047619</v>
      </c>
      <c r="Q211" s="53">
        <f t="shared" si="28"/>
        <v>3.619047619047619</v>
      </c>
      <c r="R211" s="53">
        <v>2.5</v>
      </c>
      <c r="S211" s="53">
        <v>2.5</v>
      </c>
      <c r="T211" s="53">
        <v>2.5</v>
      </c>
      <c r="U211" s="53"/>
      <c r="V211" s="53"/>
      <c r="W211" s="53"/>
      <c r="X211" s="53"/>
      <c r="Y211" s="53"/>
    </row>
    <row r="212" spans="1:25" ht="11.25">
      <c r="A212" s="49"/>
      <c r="B212" s="44" t="s">
        <v>300</v>
      </c>
      <c r="C212" s="45" t="s">
        <v>173</v>
      </c>
      <c r="D212" s="45"/>
      <c r="E212" s="45"/>
      <c r="F212" s="86">
        <f aca="true" t="shared" si="29" ref="F212:T212">F211*F210</f>
        <v>408.5714285714286</v>
      </c>
      <c r="G212" s="86">
        <f t="shared" si="29"/>
        <v>408.5714285714286</v>
      </c>
      <c r="H212" s="56">
        <f t="shared" si="29"/>
        <v>409.61904761904765</v>
      </c>
      <c r="I212" s="56">
        <f t="shared" si="29"/>
        <v>408.5714285714286</v>
      </c>
      <c r="J212" s="57">
        <f t="shared" si="29"/>
        <v>403.3333333333333</v>
      </c>
      <c r="K212" s="56">
        <f t="shared" si="29"/>
        <v>440</v>
      </c>
      <c r="L212" s="83">
        <f t="shared" si="29"/>
        <v>440</v>
      </c>
      <c r="M212" s="57">
        <f t="shared" si="29"/>
        <v>440</v>
      </c>
      <c r="N212" s="57">
        <f t="shared" si="29"/>
        <v>398.0952380952381</v>
      </c>
      <c r="O212" s="57">
        <f t="shared" si="29"/>
        <v>398.0952380952381</v>
      </c>
      <c r="P212" s="57">
        <f t="shared" si="29"/>
        <v>398.0952380952381</v>
      </c>
      <c r="Q212" s="84">
        <f t="shared" si="29"/>
        <v>398.0952380952381</v>
      </c>
      <c r="R212" s="84">
        <f t="shared" si="29"/>
        <v>275</v>
      </c>
      <c r="S212" s="84">
        <f t="shared" si="29"/>
        <v>275</v>
      </c>
      <c r="T212" s="84">
        <f t="shared" si="29"/>
        <v>275</v>
      </c>
      <c r="U212" s="53"/>
      <c r="V212" s="53"/>
      <c r="W212" s="53"/>
      <c r="X212" s="53"/>
      <c r="Y212" s="53"/>
    </row>
    <row r="213" spans="1:25" ht="10.5">
      <c r="A213" s="49"/>
      <c r="B213" s="44"/>
      <c r="C213" s="45"/>
      <c r="D213" s="45"/>
      <c r="E213" s="45"/>
      <c r="F213" s="50"/>
      <c r="G213" s="50"/>
      <c r="H213" s="50"/>
      <c r="I213" s="50"/>
      <c r="J213" s="51"/>
      <c r="K213" s="50"/>
      <c r="L213" s="52"/>
      <c r="M213" s="51"/>
      <c r="N213" s="51"/>
      <c r="O213" s="51"/>
      <c r="P213" s="51"/>
      <c r="Q213" s="53"/>
      <c r="R213" s="53"/>
      <c r="S213" s="53"/>
      <c r="T213" s="53"/>
      <c r="U213" s="53"/>
      <c r="V213" s="53"/>
      <c r="W213" s="53"/>
      <c r="X213" s="53"/>
      <c r="Y213" s="53"/>
    </row>
    <row r="214" spans="1:25" ht="10.5">
      <c r="A214" s="49"/>
      <c r="B214" s="44"/>
      <c r="C214" s="45"/>
      <c r="D214" s="45"/>
      <c r="E214" s="45"/>
      <c r="F214" s="46"/>
      <c r="G214" s="46"/>
      <c r="H214" s="46"/>
      <c r="I214" s="46"/>
      <c r="J214" s="47"/>
      <c r="K214" s="46"/>
      <c r="L214" s="48"/>
      <c r="M214" s="47"/>
      <c r="N214" s="47"/>
      <c r="O214" s="47"/>
      <c r="P214" s="47"/>
      <c r="Q214" s="45"/>
      <c r="R214" s="45"/>
      <c r="S214" s="45"/>
      <c r="T214" s="45"/>
      <c r="U214" s="45"/>
      <c r="V214" s="45"/>
      <c r="W214" s="45"/>
      <c r="X214" s="45"/>
      <c r="Y214" s="45"/>
    </row>
    <row r="215" spans="1:25" s="107" customFormat="1" ht="11.25">
      <c r="A215" s="43" t="s">
        <v>307</v>
      </c>
      <c r="B215" s="81"/>
      <c r="C215" s="103"/>
      <c r="D215" s="103"/>
      <c r="E215" s="103"/>
      <c r="F215" s="104"/>
      <c r="G215" s="104"/>
      <c r="H215" s="104"/>
      <c r="I215" s="104"/>
      <c r="J215" s="105"/>
      <c r="K215" s="104"/>
      <c r="L215" s="106"/>
      <c r="M215" s="105"/>
      <c r="N215" s="105"/>
      <c r="O215" s="105"/>
      <c r="P215" s="105"/>
      <c r="Q215" s="103"/>
      <c r="R215" s="103"/>
      <c r="S215" s="103"/>
      <c r="T215" s="103"/>
      <c r="U215" s="103"/>
      <c r="V215" s="103"/>
      <c r="W215" s="103"/>
      <c r="X215" s="103"/>
      <c r="Y215" s="103"/>
    </row>
    <row r="216" spans="1:25" ht="10.5">
      <c r="A216" s="49"/>
      <c r="B216" s="44" t="s">
        <v>308</v>
      </c>
      <c r="C216" s="45" t="s">
        <v>181</v>
      </c>
      <c r="D216" s="108"/>
      <c r="E216" s="45"/>
      <c r="F216" s="20">
        <v>25</v>
      </c>
      <c r="G216" s="20">
        <v>25</v>
      </c>
      <c r="H216" s="20">
        <v>25</v>
      </c>
      <c r="I216" s="20">
        <v>25</v>
      </c>
      <c r="J216" s="21">
        <v>25</v>
      </c>
      <c r="K216" s="20">
        <v>25</v>
      </c>
      <c r="L216" s="22">
        <v>25</v>
      </c>
      <c r="M216" s="21">
        <v>25</v>
      </c>
      <c r="N216" s="21">
        <v>25</v>
      </c>
      <c r="O216" s="21">
        <v>25</v>
      </c>
      <c r="P216" s="47"/>
      <c r="Q216" s="45"/>
      <c r="R216" s="45"/>
      <c r="S216" s="45"/>
      <c r="T216" s="45"/>
      <c r="U216" s="45"/>
      <c r="V216" s="45"/>
      <c r="W216" s="45"/>
      <c r="X216" s="45"/>
      <c r="Y216" s="45"/>
    </row>
    <row r="217" spans="1:25" ht="10.5">
      <c r="A217" s="49"/>
      <c r="B217" s="44" t="s">
        <v>309</v>
      </c>
      <c r="C217" s="45" t="s">
        <v>310</v>
      </c>
      <c r="D217" s="45"/>
      <c r="E217" s="45"/>
      <c r="F217" s="50">
        <v>30</v>
      </c>
      <c r="G217" s="50">
        <v>30</v>
      </c>
      <c r="H217" s="50">
        <v>30</v>
      </c>
      <c r="I217" s="50">
        <v>30</v>
      </c>
      <c r="J217" s="51">
        <v>30</v>
      </c>
      <c r="K217" s="50">
        <v>30</v>
      </c>
      <c r="L217" s="52">
        <v>30</v>
      </c>
      <c r="M217" s="51">
        <v>30</v>
      </c>
      <c r="N217" s="51">
        <v>30</v>
      </c>
      <c r="O217" s="51">
        <v>30</v>
      </c>
      <c r="P217" s="51"/>
      <c r="Q217" s="53"/>
      <c r="R217" s="45"/>
      <c r="S217" s="45"/>
      <c r="T217" s="45"/>
      <c r="U217" s="45"/>
      <c r="V217" s="45"/>
      <c r="W217" s="45"/>
      <c r="X217" s="45"/>
      <c r="Y217" s="45"/>
    </row>
    <row r="218" spans="1:25" ht="10.5">
      <c r="A218" s="49"/>
      <c r="B218" s="44" t="s">
        <v>311</v>
      </c>
      <c r="C218" s="45" t="s">
        <v>173</v>
      </c>
      <c r="D218" s="45"/>
      <c r="E218" s="45" t="s">
        <v>206</v>
      </c>
      <c r="F218" s="72">
        <v>98.25</v>
      </c>
      <c r="G218" s="72">
        <v>98.25</v>
      </c>
      <c r="H218" s="72">
        <v>94.25</v>
      </c>
      <c r="I218" s="72">
        <v>83.5</v>
      </c>
      <c r="J218" s="74">
        <v>83.5</v>
      </c>
      <c r="K218" s="50">
        <v>75</v>
      </c>
      <c r="L218" s="52">
        <v>72.5</v>
      </c>
      <c r="M218" s="51">
        <v>55</v>
      </c>
      <c r="N218" s="51">
        <v>55</v>
      </c>
      <c r="O218" s="51">
        <v>55</v>
      </c>
      <c r="P218" s="51"/>
      <c r="Q218" s="53"/>
      <c r="R218" s="53"/>
      <c r="S218" s="53"/>
      <c r="T218" s="53"/>
      <c r="U218" s="53"/>
      <c r="V218" s="53"/>
      <c r="W218" s="53"/>
      <c r="X218" s="53"/>
      <c r="Y218" s="53"/>
    </row>
    <row r="219" spans="1:25" ht="11.25">
      <c r="A219" s="49"/>
      <c r="B219" s="44" t="s">
        <v>312</v>
      </c>
      <c r="C219" s="45" t="s">
        <v>173</v>
      </c>
      <c r="D219" s="45"/>
      <c r="E219" s="45"/>
      <c r="F219" s="115">
        <f aca="true" t="shared" si="30" ref="F219:O219">F218/F217</f>
        <v>3.275</v>
      </c>
      <c r="G219" s="54">
        <f t="shared" si="30"/>
        <v>3.275</v>
      </c>
      <c r="H219" s="54">
        <f t="shared" si="30"/>
        <v>3.1416666666666666</v>
      </c>
      <c r="I219" s="54">
        <f t="shared" si="30"/>
        <v>2.783333333333333</v>
      </c>
      <c r="J219" s="55">
        <f t="shared" si="30"/>
        <v>2.783333333333333</v>
      </c>
      <c r="K219" s="56">
        <f t="shared" si="30"/>
        <v>2.5</v>
      </c>
      <c r="L219" s="57">
        <f t="shared" si="30"/>
        <v>2.4166666666666665</v>
      </c>
      <c r="M219" s="57">
        <f t="shared" si="30"/>
        <v>1.8333333333333333</v>
      </c>
      <c r="N219" s="57">
        <f t="shared" si="30"/>
        <v>1.8333333333333333</v>
      </c>
      <c r="O219" s="57">
        <f t="shared" si="30"/>
        <v>1.8333333333333333</v>
      </c>
      <c r="P219" s="57"/>
      <c r="Q219" s="84"/>
      <c r="R219" s="84"/>
      <c r="S219" s="84"/>
      <c r="T219" s="84"/>
      <c r="U219" s="53"/>
      <c r="V219" s="53"/>
      <c r="W219" s="53"/>
      <c r="X219" s="53"/>
      <c r="Y219" s="53"/>
    </row>
    <row r="220" spans="1:25" ht="11.25">
      <c r="A220" s="49"/>
      <c r="B220" s="44" t="s">
        <v>313</v>
      </c>
      <c r="C220" s="45" t="s">
        <v>353</v>
      </c>
      <c r="D220" s="45"/>
      <c r="E220" s="45" t="s">
        <v>206</v>
      </c>
      <c r="F220" s="58">
        <v>3.3</v>
      </c>
      <c r="G220" s="58">
        <v>3.3</v>
      </c>
      <c r="H220" s="58">
        <v>3.2</v>
      </c>
      <c r="I220" s="58">
        <v>2.8</v>
      </c>
      <c r="J220" s="71">
        <v>2.8</v>
      </c>
      <c r="K220" s="56">
        <v>2.5</v>
      </c>
      <c r="L220" s="83">
        <v>2.4</v>
      </c>
      <c r="M220" s="57">
        <v>1.8</v>
      </c>
      <c r="N220" s="57">
        <v>1.8</v>
      </c>
      <c r="O220" s="57">
        <v>1.8</v>
      </c>
      <c r="P220" s="57"/>
      <c r="Q220" s="84"/>
      <c r="R220" s="84"/>
      <c r="S220" s="84"/>
      <c r="T220" s="84"/>
      <c r="U220" s="53"/>
      <c r="V220" s="53"/>
      <c r="W220" s="53"/>
      <c r="X220" s="53"/>
      <c r="Y220" s="53"/>
    </row>
    <row r="221" spans="1:25" ht="10.5">
      <c r="A221" s="49"/>
      <c r="B221" s="44"/>
      <c r="C221" s="45"/>
      <c r="D221" s="45"/>
      <c r="E221" s="45"/>
      <c r="F221" s="50"/>
      <c r="G221" s="50"/>
      <c r="H221" s="50"/>
      <c r="I221" s="50"/>
      <c r="J221" s="51"/>
      <c r="K221" s="50"/>
      <c r="L221" s="52"/>
      <c r="M221" s="51"/>
      <c r="N221" s="51"/>
      <c r="O221" s="51"/>
      <c r="P221" s="51"/>
      <c r="Q221" s="53"/>
      <c r="R221" s="53"/>
      <c r="S221" s="53"/>
      <c r="T221" s="53"/>
      <c r="U221" s="53"/>
      <c r="V221" s="53"/>
      <c r="W221" s="53"/>
      <c r="X221" s="53"/>
      <c r="Y221" s="53"/>
    </row>
    <row r="222" spans="1:25" ht="11.25">
      <c r="A222" s="43" t="s">
        <v>388</v>
      </c>
      <c r="B222" s="44"/>
      <c r="C222" s="45"/>
      <c r="D222" s="45"/>
      <c r="E222" s="45"/>
      <c r="F222" s="50"/>
      <c r="G222" s="50"/>
      <c r="H222" s="50"/>
      <c r="I222" s="50"/>
      <c r="J222" s="51"/>
      <c r="K222" s="50"/>
      <c r="L222" s="52"/>
      <c r="M222" s="51"/>
      <c r="N222" s="51"/>
      <c r="O222" s="51"/>
      <c r="P222" s="51"/>
      <c r="Q222" s="53"/>
      <c r="R222" s="53"/>
      <c r="S222" s="53"/>
      <c r="T222" s="53"/>
      <c r="U222" s="53"/>
      <c r="V222" s="53"/>
      <c r="W222" s="53"/>
      <c r="X222" s="53"/>
      <c r="Y222" s="53"/>
    </row>
    <row r="223" spans="1:25" ht="10.5">
      <c r="A223" s="49"/>
      <c r="B223" s="44" t="s">
        <v>314</v>
      </c>
      <c r="C223" s="45" t="s">
        <v>315</v>
      </c>
      <c r="D223" s="45"/>
      <c r="E223" s="45"/>
      <c r="F223" s="50">
        <v>2</v>
      </c>
      <c r="G223" s="50">
        <v>2</v>
      </c>
      <c r="H223" s="50">
        <v>2</v>
      </c>
      <c r="I223" s="50">
        <v>2</v>
      </c>
      <c r="J223" s="51">
        <v>2</v>
      </c>
      <c r="K223" s="50">
        <v>2</v>
      </c>
      <c r="L223" s="52">
        <v>2</v>
      </c>
      <c r="M223" s="51">
        <v>2</v>
      </c>
      <c r="N223" s="51">
        <v>2</v>
      </c>
      <c r="O223" s="51">
        <v>2</v>
      </c>
      <c r="P223" s="51">
        <v>2</v>
      </c>
      <c r="Q223" s="53">
        <v>2</v>
      </c>
      <c r="R223" s="53">
        <v>2</v>
      </c>
      <c r="S223" s="53">
        <v>2</v>
      </c>
      <c r="T223" s="53">
        <v>2</v>
      </c>
      <c r="U223" s="53">
        <v>2</v>
      </c>
      <c r="V223" s="53">
        <v>2</v>
      </c>
      <c r="W223" s="53">
        <v>2</v>
      </c>
      <c r="X223" s="53">
        <v>2</v>
      </c>
      <c r="Y223" s="53">
        <v>2</v>
      </c>
    </row>
    <row r="224" spans="1:25" ht="10.5">
      <c r="A224" s="49"/>
      <c r="B224" s="44" t="s">
        <v>242</v>
      </c>
      <c r="C224" s="45" t="s">
        <v>315</v>
      </c>
      <c r="D224" s="45"/>
      <c r="E224" s="45"/>
      <c r="F224" s="50">
        <v>1.5</v>
      </c>
      <c r="G224" s="50">
        <v>1.5</v>
      </c>
      <c r="H224" s="50">
        <v>1.5</v>
      </c>
      <c r="I224" s="50">
        <v>1.5</v>
      </c>
      <c r="J224" s="51">
        <v>1.5</v>
      </c>
      <c r="K224" s="50">
        <v>1.5</v>
      </c>
      <c r="L224" s="52">
        <v>1.5</v>
      </c>
      <c r="M224" s="51">
        <v>1.5</v>
      </c>
      <c r="N224" s="51">
        <v>1.5</v>
      </c>
      <c r="O224" s="51">
        <v>1.5</v>
      </c>
      <c r="P224" s="51">
        <v>1.5</v>
      </c>
      <c r="Q224" s="53">
        <v>1.5</v>
      </c>
      <c r="R224" s="53">
        <v>1.5</v>
      </c>
      <c r="S224" s="53">
        <v>1.5</v>
      </c>
      <c r="T224" s="53">
        <v>1.5</v>
      </c>
      <c r="U224" s="53">
        <v>1.5</v>
      </c>
      <c r="V224" s="53">
        <v>1.5</v>
      </c>
      <c r="W224" s="53">
        <v>1.5</v>
      </c>
      <c r="X224" s="53">
        <v>1.5</v>
      </c>
      <c r="Y224" s="53">
        <v>1.5</v>
      </c>
    </row>
    <row r="225" spans="1:25" ht="10.5">
      <c r="A225" s="49"/>
      <c r="B225" s="44"/>
      <c r="C225" s="45"/>
      <c r="D225" s="45"/>
      <c r="E225" s="45"/>
      <c r="F225" s="50"/>
      <c r="G225" s="50"/>
      <c r="H225" s="50"/>
      <c r="I225" s="50"/>
      <c r="J225" s="51"/>
      <c r="K225" s="50"/>
      <c r="L225" s="52"/>
      <c r="M225" s="51"/>
      <c r="N225" s="51"/>
      <c r="O225" s="51"/>
      <c r="P225" s="51"/>
      <c r="Q225" s="53"/>
      <c r="R225" s="53"/>
      <c r="S225" s="53"/>
      <c r="T225" s="53"/>
      <c r="U225" s="53"/>
      <c r="V225" s="53"/>
      <c r="W225" s="53"/>
      <c r="X225" s="53"/>
      <c r="Y225" s="53"/>
    </row>
    <row r="226" spans="1:25" ht="10.5">
      <c r="A226" s="43" t="s">
        <v>316</v>
      </c>
      <c r="B226" s="44"/>
      <c r="C226" s="45"/>
      <c r="D226" s="45"/>
      <c r="E226" s="45"/>
      <c r="F226" s="50"/>
      <c r="G226" s="50"/>
      <c r="H226" s="50"/>
      <c r="I226" s="50"/>
      <c r="J226" s="51"/>
      <c r="K226" s="50"/>
      <c r="L226" s="52"/>
      <c r="M226" s="51"/>
      <c r="N226" s="51"/>
      <c r="O226" s="51"/>
      <c r="P226" s="51"/>
      <c r="Q226" s="53"/>
      <c r="R226" s="53"/>
      <c r="S226" s="53"/>
      <c r="T226" s="53"/>
      <c r="U226" s="53"/>
      <c r="V226" s="53"/>
      <c r="W226" s="53"/>
      <c r="X226" s="53"/>
      <c r="Y226" s="53"/>
    </row>
    <row r="227" spans="1:25" ht="10.5">
      <c r="A227" s="49"/>
      <c r="B227" s="44" t="s">
        <v>317</v>
      </c>
      <c r="C227" s="45" t="s">
        <v>315</v>
      </c>
      <c r="D227" s="45"/>
      <c r="E227" s="45"/>
      <c r="F227" s="50" t="s">
        <v>318</v>
      </c>
      <c r="G227" s="50" t="s">
        <v>318</v>
      </c>
      <c r="H227" s="50" t="s">
        <v>318</v>
      </c>
      <c r="I227" s="50" t="s">
        <v>318</v>
      </c>
      <c r="J227" s="51" t="s">
        <v>318</v>
      </c>
      <c r="K227" s="50" t="s">
        <v>318</v>
      </c>
      <c r="L227" s="52" t="s">
        <v>318</v>
      </c>
      <c r="M227" s="51" t="s">
        <v>318</v>
      </c>
      <c r="N227" s="51" t="s">
        <v>318</v>
      </c>
      <c r="O227" s="51" t="s">
        <v>318</v>
      </c>
      <c r="P227" s="51" t="s">
        <v>318</v>
      </c>
      <c r="Q227" s="53" t="s">
        <v>318</v>
      </c>
      <c r="R227" s="53" t="s">
        <v>318</v>
      </c>
      <c r="S227" s="53" t="s">
        <v>318</v>
      </c>
      <c r="T227" s="53" t="s">
        <v>318</v>
      </c>
      <c r="U227" s="53">
        <v>5.5</v>
      </c>
      <c r="V227" s="53">
        <v>5.5</v>
      </c>
      <c r="W227" s="53">
        <v>5.5</v>
      </c>
      <c r="X227" s="53">
        <v>5.5</v>
      </c>
      <c r="Y227" s="53">
        <v>5.5</v>
      </c>
    </row>
    <row r="228" spans="1:25" ht="10.5">
      <c r="A228" s="30"/>
      <c r="B228" s="109"/>
      <c r="C228" s="110"/>
      <c r="D228" s="110"/>
      <c r="E228" s="110"/>
      <c r="F228" s="111">
        <v>5.5</v>
      </c>
      <c r="G228" s="111">
        <v>5.5</v>
      </c>
      <c r="H228" s="111">
        <v>5.5</v>
      </c>
      <c r="I228" s="111">
        <v>5.5</v>
      </c>
      <c r="J228" s="112">
        <v>5.5</v>
      </c>
      <c r="K228" s="111">
        <v>5.5</v>
      </c>
      <c r="L228" s="113">
        <v>5.5</v>
      </c>
      <c r="M228" s="112">
        <v>5.5</v>
      </c>
      <c r="N228" s="112">
        <v>5.5</v>
      </c>
      <c r="O228" s="112">
        <v>5.5</v>
      </c>
      <c r="P228" s="112">
        <v>5.5</v>
      </c>
      <c r="Q228" s="114">
        <v>5.5</v>
      </c>
      <c r="R228" s="114">
        <v>5.5</v>
      </c>
      <c r="S228" s="114">
        <v>5.5</v>
      </c>
      <c r="T228" s="114">
        <v>5.5</v>
      </c>
      <c r="U228" s="110"/>
      <c r="V228" s="110"/>
      <c r="W228" s="110"/>
      <c r="X228" s="110"/>
      <c r="Y228" s="110"/>
    </row>
    <row r="232" ht="10.5">
      <c r="A232" s="18" t="s">
        <v>319</v>
      </c>
    </row>
    <row r="233" spans="2:17" ht="10.5">
      <c r="B233" s="18" t="s">
        <v>320</v>
      </c>
      <c r="G233" s="20">
        <v>22</v>
      </c>
      <c r="H233" s="20">
        <v>22</v>
      </c>
      <c r="I233" s="20">
        <v>22</v>
      </c>
      <c r="J233" s="21">
        <v>22</v>
      </c>
      <c r="K233" s="20">
        <v>22</v>
      </c>
      <c r="L233" s="22">
        <v>22</v>
      </c>
      <c r="M233" s="21">
        <v>22</v>
      </c>
      <c r="N233" s="21">
        <v>22</v>
      </c>
      <c r="O233" s="21">
        <v>22</v>
      </c>
      <c r="P233" s="21">
        <v>22</v>
      </c>
      <c r="Q233" s="19" t="s">
        <v>181</v>
      </c>
    </row>
    <row r="234" spans="2:16" ht="10.5">
      <c r="B234" s="18" t="s">
        <v>377</v>
      </c>
      <c r="G234" s="20">
        <v>48</v>
      </c>
      <c r="H234" s="20">
        <v>48</v>
      </c>
      <c r="I234" s="20">
        <v>48</v>
      </c>
      <c r="J234" s="21">
        <v>48</v>
      </c>
      <c r="K234" s="20">
        <v>48</v>
      </c>
      <c r="L234" s="22">
        <v>48</v>
      </c>
      <c r="M234" s="21">
        <v>48</v>
      </c>
      <c r="N234" s="21">
        <v>48</v>
      </c>
      <c r="O234" s="21">
        <v>48</v>
      </c>
      <c r="P234" s="21">
        <v>48</v>
      </c>
    </row>
    <row r="237" ht="10.5">
      <c r="B237" s="124" t="s">
        <v>462</v>
      </c>
    </row>
    <row r="238" spans="2:6" ht="10.5">
      <c r="B238" s="18" t="s">
        <v>451</v>
      </c>
      <c r="C238" s="19" t="s">
        <v>397</v>
      </c>
      <c r="D238" s="19" t="s">
        <v>467</v>
      </c>
      <c r="F238" s="19" t="s">
        <v>469</v>
      </c>
    </row>
    <row r="239" spans="2:6" ht="10.5">
      <c r="B239" s="18" t="s">
        <v>414</v>
      </c>
      <c r="C239" s="19">
        <v>3000</v>
      </c>
      <c r="D239" s="19">
        <v>130</v>
      </c>
      <c r="F239" s="19">
        <v>242</v>
      </c>
    </row>
    <row r="240" spans="2:6" ht="10.5">
      <c r="B240" s="18" t="s">
        <v>463</v>
      </c>
      <c r="C240" s="19">
        <v>3000</v>
      </c>
      <c r="D240" s="19">
        <v>130</v>
      </c>
      <c r="F240" s="19">
        <v>247</v>
      </c>
    </row>
    <row r="241" spans="2:6" ht="10.5">
      <c r="B241" s="18" t="s">
        <v>466</v>
      </c>
      <c r="C241" s="19">
        <v>3000</v>
      </c>
      <c r="D241" s="19">
        <v>130</v>
      </c>
      <c r="F241" s="19">
        <v>254</v>
      </c>
    </row>
    <row r="242" spans="2:6" ht="10.5">
      <c r="B242" s="18" t="s">
        <v>468</v>
      </c>
      <c r="C242" s="19">
        <v>2600</v>
      </c>
      <c r="D242" s="19">
        <v>130</v>
      </c>
      <c r="F242" s="19">
        <v>252</v>
      </c>
    </row>
    <row r="243" spans="2:6" ht="10.5">
      <c r="B243" s="107" t="s">
        <v>371</v>
      </c>
      <c r="F243" s="119">
        <f>((F239/C239)+(F240/C240)+(F241/C241)+(F242/C242))/4</f>
        <v>0.0861474358974359</v>
      </c>
    </row>
    <row r="245" spans="2:6" ht="10.5">
      <c r="B245" s="18" t="s">
        <v>464</v>
      </c>
      <c r="C245" s="19">
        <v>3000</v>
      </c>
      <c r="D245" s="19">
        <v>125</v>
      </c>
      <c r="F245" s="19">
        <v>239</v>
      </c>
    </row>
    <row r="246" spans="2:6" ht="10.5">
      <c r="B246" s="18" t="s">
        <v>465</v>
      </c>
      <c r="C246" s="19">
        <v>3000</v>
      </c>
      <c r="D246" s="19">
        <v>123</v>
      </c>
      <c r="F246" s="19">
        <v>243</v>
      </c>
    </row>
    <row r="247" spans="2:6" ht="10.5">
      <c r="B247" s="18" t="s">
        <v>470</v>
      </c>
      <c r="C247" s="19">
        <v>2600</v>
      </c>
      <c r="D247" s="19">
        <v>125</v>
      </c>
      <c r="F247" s="19">
        <v>242</v>
      </c>
    </row>
    <row r="248" spans="2:6" ht="10.5">
      <c r="B248" s="107" t="s">
        <v>443</v>
      </c>
      <c r="F248" s="119">
        <f>((F245/C245)+(F246/C246)+(F247/C247))/3</f>
        <v>0.08458119658119657</v>
      </c>
    </row>
    <row r="250" spans="2:3" ht="10.5">
      <c r="B250" s="124" t="s">
        <v>471</v>
      </c>
      <c r="C250" s="19" t="s">
        <v>367</v>
      </c>
    </row>
    <row r="251" spans="2:6" ht="10.5">
      <c r="B251" s="18" t="s">
        <v>366</v>
      </c>
      <c r="C251" s="19">
        <v>750</v>
      </c>
      <c r="D251" s="19">
        <v>1500</v>
      </c>
      <c r="F251" s="19">
        <v>103.3</v>
      </c>
    </row>
    <row r="252" spans="2:6" ht="10.5">
      <c r="B252" s="18" t="s">
        <v>368</v>
      </c>
      <c r="C252" s="19">
        <v>750</v>
      </c>
      <c r="D252" s="19">
        <v>1500</v>
      </c>
      <c r="F252" s="19">
        <v>102.76</v>
      </c>
    </row>
    <row r="253" spans="2:6" ht="10.5">
      <c r="B253" s="18" t="s">
        <v>369</v>
      </c>
      <c r="C253" s="19">
        <v>750</v>
      </c>
      <c r="D253" s="19">
        <v>1500</v>
      </c>
      <c r="F253" s="19">
        <v>108</v>
      </c>
    </row>
    <row r="254" spans="2:6" ht="10.5">
      <c r="B254" s="18" t="s">
        <v>370</v>
      </c>
      <c r="C254" s="19">
        <v>750</v>
      </c>
      <c r="D254" s="19">
        <v>1500</v>
      </c>
      <c r="F254" s="19">
        <v>109</v>
      </c>
    </row>
    <row r="255" spans="2:6" ht="10.5">
      <c r="B255" s="107" t="s">
        <v>443</v>
      </c>
      <c r="F255" s="119">
        <f>ROUND(AVERAGE(F251:F254),0)</f>
        <v>106</v>
      </c>
    </row>
    <row r="256" spans="2:6" ht="10.5">
      <c r="B256" s="107"/>
      <c r="F256" s="119"/>
    </row>
  </sheetData>
  <sheetProtection/>
  <printOptions/>
  <pageMargins left="0.787401575" right="0.787401575" top="0.984251969" bottom="0.984251969" header="0.4921259845" footer="0.4921259845"/>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455</v>
      </c>
    </row>
    <row r="5" ht="12.75">
      <c r="A5" t="s">
        <v>456</v>
      </c>
    </row>
    <row r="6" spans="1:2" ht="12.75">
      <c r="A6" t="s">
        <v>457</v>
      </c>
      <c r="B6" s="5">
        <v>23.51</v>
      </c>
    </row>
    <row r="7" spans="1:11" ht="12.75">
      <c r="A7" t="s">
        <v>350</v>
      </c>
      <c r="B7" s="5">
        <v>49</v>
      </c>
      <c r="C7" s="9">
        <f>B7</f>
        <v>49</v>
      </c>
      <c r="D7" s="9">
        <f aca="true" t="shared" si="0" ref="D7:K7">C7</f>
        <v>49</v>
      </c>
      <c r="E7" s="9">
        <f t="shared" si="0"/>
        <v>49</v>
      </c>
      <c r="F7" s="9">
        <f t="shared" si="0"/>
        <v>49</v>
      </c>
      <c r="G7" s="9">
        <f t="shared" si="0"/>
        <v>49</v>
      </c>
      <c r="H7" s="9">
        <f t="shared" si="0"/>
        <v>49</v>
      </c>
      <c r="I7" s="9">
        <f t="shared" si="0"/>
        <v>49</v>
      </c>
      <c r="J7" s="9">
        <f t="shared" si="0"/>
        <v>49</v>
      </c>
      <c r="K7" s="9">
        <f t="shared" si="0"/>
        <v>49</v>
      </c>
    </row>
    <row r="8" spans="1:11" ht="12.75">
      <c r="A8" t="s">
        <v>165</v>
      </c>
      <c r="B8">
        <v>100</v>
      </c>
      <c r="C8">
        <v>200</v>
      </c>
      <c r="D8">
        <v>300</v>
      </c>
      <c r="E8">
        <v>400</v>
      </c>
      <c r="F8">
        <v>500</v>
      </c>
      <c r="G8">
        <v>600</v>
      </c>
      <c r="H8">
        <v>700</v>
      </c>
      <c r="I8">
        <v>800</v>
      </c>
      <c r="J8">
        <v>900</v>
      </c>
      <c r="K8">
        <v>1000</v>
      </c>
    </row>
    <row r="9" spans="1:11" ht="12.75">
      <c r="A9" t="s">
        <v>375</v>
      </c>
      <c r="B9">
        <v>10272</v>
      </c>
      <c r="C9">
        <v>10272</v>
      </c>
      <c r="D9">
        <v>10639</v>
      </c>
      <c r="E9">
        <v>11005</v>
      </c>
      <c r="F9">
        <v>11372</v>
      </c>
      <c r="G9">
        <v>12105</v>
      </c>
      <c r="H9">
        <v>12105</v>
      </c>
      <c r="I9">
        <v>12105</v>
      </c>
      <c r="J9">
        <v>12105</v>
      </c>
      <c r="K9">
        <v>12105</v>
      </c>
    </row>
    <row r="10" spans="1:11" ht="12.75">
      <c r="A10" t="s">
        <v>376</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165</v>
      </c>
      <c r="B12">
        <v>100</v>
      </c>
      <c r="C12">
        <v>200</v>
      </c>
      <c r="D12">
        <v>300</v>
      </c>
      <c r="E12">
        <v>400</v>
      </c>
      <c r="F12">
        <v>500</v>
      </c>
      <c r="G12">
        <v>600</v>
      </c>
      <c r="H12">
        <v>700</v>
      </c>
      <c r="I12">
        <v>800</v>
      </c>
      <c r="J12">
        <v>900</v>
      </c>
      <c r="K12">
        <v>1000</v>
      </c>
    </row>
    <row r="13" spans="1:11" ht="12.75">
      <c r="A13" t="s">
        <v>375</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376</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350</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168</v>
      </c>
    </row>
    <row r="19" spans="1:11" ht="12.75">
      <c r="A19" t="s">
        <v>348</v>
      </c>
      <c r="B19">
        <v>143</v>
      </c>
      <c r="C19">
        <v>87</v>
      </c>
      <c r="D19">
        <v>69</v>
      </c>
      <c r="E19">
        <v>60</v>
      </c>
      <c r="F19">
        <v>55</v>
      </c>
      <c r="G19">
        <v>52</v>
      </c>
      <c r="H19">
        <v>49</v>
      </c>
      <c r="I19">
        <v>47</v>
      </c>
      <c r="J19">
        <v>45</v>
      </c>
      <c r="K19">
        <v>43</v>
      </c>
    </row>
    <row r="20" spans="1:11" ht="12.75">
      <c r="A20" t="s">
        <v>349</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H26" sqref="H26"/>
    </sheetView>
  </sheetViews>
  <sheetFormatPr defaultColWidth="11.421875" defaultRowHeight="12.75"/>
  <cols>
    <col min="1" max="1" width="17.8515625" style="0" customWidth="1"/>
    <col min="2" max="2" width="14.8515625" style="0" customWidth="1"/>
    <col min="3" max="3" width="14.28125" style="0" customWidth="1"/>
    <col min="4" max="4" width="9.28125" style="0" customWidth="1"/>
    <col min="12" max="12" width="10.8515625" style="6" customWidth="1"/>
  </cols>
  <sheetData>
    <row r="1" spans="1:12" ht="27">
      <c r="A1" s="943" t="s">
        <v>1409</v>
      </c>
      <c r="G1" s="579"/>
      <c r="H1" s="579"/>
      <c r="I1" s="579"/>
      <c r="J1" s="579"/>
      <c r="K1" s="579"/>
      <c r="L1" s="579"/>
    </row>
    <row r="2" spans="1:11" ht="18">
      <c r="A2" s="229" t="s">
        <v>1423</v>
      </c>
      <c r="B2" s="6"/>
      <c r="C2" s="6"/>
      <c r="D2" s="6"/>
      <c r="E2" s="6"/>
      <c r="F2" s="6"/>
      <c r="G2" s="6"/>
      <c r="H2" s="6"/>
      <c r="I2" s="6"/>
      <c r="J2" s="6"/>
      <c r="K2" s="6"/>
    </row>
    <row r="3" spans="1:11" ht="18">
      <c r="A3" s="229"/>
      <c r="B3" s="6"/>
      <c r="C3" s="6"/>
      <c r="D3" s="6"/>
      <c r="E3" s="6"/>
      <c r="F3" s="6"/>
      <c r="G3" s="6"/>
      <c r="H3" s="6"/>
      <c r="I3" s="6"/>
      <c r="J3" s="6"/>
      <c r="K3" s="6"/>
    </row>
    <row r="4" spans="1:11" ht="15.75">
      <c r="A4" s="580" t="s">
        <v>1437</v>
      </c>
      <c r="B4" s="944" t="s">
        <v>1428</v>
      </c>
      <c r="C4" s="945"/>
      <c r="D4" s="945"/>
      <c r="E4" s="945"/>
      <c r="F4" s="945"/>
      <c r="G4" s="945"/>
      <c r="H4" s="945"/>
      <c r="I4" s="945"/>
      <c r="J4" s="6"/>
      <c r="K4" s="6"/>
    </row>
    <row r="5" spans="1:11" ht="15.75">
      <c r="A5" s="580"/>
      <c r="B5" s="944" t="s">
        <v>1429</v>
      </c>
      <c r="C5" s="945"/>
      <c r="D5" s="945"/>
      <c r="E5" s="945"/>
      <c r="F5" s="945"/>
      <c r="G5" s="945"/>
      <c r="H5" s="945"/>
      <c r="I5" s="945"/>
      <c r="J5" s="579"/>
      <c r="K5" s="6"/>
    </row>
    <row r="6" spans="1:11" ht="13.5" customHeight="1">
      <c r="A6" s="590"/>
      <c r="B6" s="944" t="s">
        <v>1430</v>
      </c>
      <c r="C6" s="945"/>
      <c r="D6" s="945"/>
      <c r="E6" s="945"/>
      <c r="F6" s="945"/>
      <c r="G6" s="946" t="s">
        <v>1431</v>
      </c>
      <c r="H6" s="945"/>
      <c r="I6" s="946"/>
      <c r="J6" s="678"/>
      <c r="K6" s="6"/>
    </row>
    <row r="7" spans="1:11" ht="13.5" customHeight="1">
      <c r="A7" s="590"/>
      <c r="B7" s="944" t="s">
        <v>1432</v>
      </c>
      <c r="C7" s="945"/>
      <c r="D7" s="945"/>
      <c r="E7" s="945"/>
      <c r="F7" s="945"/>
      <c r="G7" s="945"/>
      <c r="H7" s="946"/>
      <c r="I7" s="946"/>
      <c r="J7" s="579"/>
      <c r="K7" s="6"/>
    </row>
    <row r="8" spans="1:11" ht="13.5" customHeight="1">
      <c r="A8" s="590"/>
      <c r="B8" s="944" t="s">
        <v>1433</v>
      </c>
      <c r="C8" s="945"/>
      <c r="D8" s="945"/>
      <c r="E8" s="945"/>
      <c r="F8" s="945"/>
      <c r="G8" s="945"/>
      <c r="H8" s="946"/>
      <c r="I8" s="946"/>
      <c r="J8" s="579"/>
      <c r="K8" s="6"/>
    </row>
    <row r="9" spans="1:11" ht="13.5" customHeight="1">
      <c r="A9" s="590"/>
      <c r="B9" s="944" t="s">
        <v>1434</v>
      </c>
      <c r="C9" s="945"/>
      <c r="D9" s="945"/>
      <c r="E9" s="945"/>
      <c r="F9" s="945"/>
      <c r="G9" s="945"/>
      <c r="H9" s="946"/>
      <c r="I9" s="946"/>
      <c r="K9" s="6"/>
    </row>
    <row r="10" spans="1:11" ht="13.5" customHeight="1">
      <c r="A10" s="590"/>
      <c r="B10" s="944" t="s">
        <v>1435</v>
      </c>
      <c r="C10" s="945"/>
      <c r="D10" s="945"/>
      <c r="E10" s="945"/>
      <c r="F10" s="945"/>
      <c r="G10" s="945"/>
      <c r="H10" s="945"/>
      <c r="I10" s="946"/>
      <c r="J10" s="232"/>
      <c r="K10" s="6"/>
    </row>
    <row r="11" spans="1:11" ht="13.5" customHeight="1">
      <c r="A11" s="590"/>
      <c r="B11" s="944" t="s">
        <v>1436</v>
      </c>
      <c r="C11" s="945"/>
      <c r="D11" s="945"/>
      <c r="E11" s="945"/>
      <c r="F11" s="945"/>
      <c r="G11" s="945"/>
      <c r="H11" s="945"/>
      <c r="I11" s="946"/>
      <c r="J11" s="232"/>
      <c r="K11" s="6"/>
    </row>
    <row r="12" spans="1:11" ht="13.5" customHeight="1">
      <c r="A12" s="590"/>
      <c r="B12" s="944" t="s">
        <v>1487</v>
      </c>
      <c r="C12" s="945"/>
      <c r="D12" s="944"/>
      <c r="E12" s="945"/>
      <c r="F12" s="945"/>
      <c r="G12" s="945"/>
      <c r="H12" s="945"/>
      <c r="I12" s="946"/>
      <c r="J12" s="232"/>
      <c r="K12" s="6"/>
    </row>
    <row r="13" spans="1:11" ht="13.5" customHeight="1">
      <c r="A13" s="590"/>
      <c r="B13" s="725"/>
      <c r="C13" s="579"/>
      <c r="D13" s="725"/>
      <c r="E13" s="579"/>
      <c r="F13" s="579"/>
      <c r="G13" s="579"/>
      <c r="H13" s="579"/>
      <c r="I13" s="678"/>
      <c r="J13" s="232"/>
      <c r="K13" s="6"/>
    </row>
    <row r="14" spans="1:11" ht="13.5" customHeight="1" thickBot="1">
      <c r="A14" s="590"/>
      <c r="B14" s="952" t="str">
        <f>IF('Calcul des machines'!C4=2,"Faire exécuter le travail par l'entreprise de travaux agricole?","")</f>
        <v>Faire exécuter le travail par l'entreprise de travaux agricole?</v>
      </c>
      <c r="C14" s="6"/>
      <c r="D14" s="6"/>
      <c r="E14" s="6"/>
      <c r="F14" s="6"/>
      <c r="G14" s="6"/>
      <c r="H14" s="579"/>
      <c r="I14" s="232"/>
      <c r="J14" s="232"/>
      <c r="K14" s="6"/>
    </row>
    <row r="15" spans="1:11" ht="20.25">
      <c r="A15" s="590"/>
      <c r="B15" s="975" t="str">
        <f>'Calcul des machines'!B10</f>
        <v>Tracteur 65-74 kW  (88-101 ch)</v>
      </c>
      <c r="C15" s="976"/>
      <c r="D15" s="977"/>
      <c r="E15" s="977"/>
      <c r="F15" s="976"/>
      <c r="G15" s="322"/>
      <c r="H15" s="322"/>
      <c r="I15" s="973"/>
      <c r="J15" s="6"/>
      <c r="K15" s="6"/>
    </row>
    <row r="16" spans="1:11" ht="21" thickBot="1">
      <c r="A16" s="590"/>
      <c r="B16" s="978" t="str">
        <f>IF('Calcul des machines'!C4=2,"avec","")</f>
        <v>avec</v>
      </c>
      <c r="C16" s="979" t="str">
        <f>IF('Calcul des machines'!C4=2,'Calcul des machines'!B76,"")</f>
        <v>Herse à disques tractée, 3 m</v>
      </c>
      <c r="D16" s="980"/>
      <c r="E16" s="979"/>
      <c r="F16" s="979"/>
      <c r="G16" s="327"/>
      <c r="H16" s="327"/>
      <c r="I16" s="974"/>
      <c r="J16" s="6"/>
      <c r="K16" s="6"/>
    </row>
    <row r="17" spans="1:11" ht="12.75">
      <c r="A17" s="6"/>
      <c r="B17" s="6"/>
      <c r="C17" s="6"/>
      <c r="D17" s="6"/>
      <c r="E17" s="6"/>
      <c r="F17" s="6"/>
      <c r="G17" s="6"/>
      <c r="H17" s="6"/>
      <c r="I17" s="6"/>
      <c r="J17" s="6"/>
      <c r="K17" s="6"/>
    </row>
    <row r="18" spans="1:11" ht="12.75">
      <c r="A18" s="6"/>
      <c r="B18" s="11" t="s">
        <v>1417</v>
      </c>
      <c r="C18" s="947">
        <f>IF('Calcul des machines'!C4=2,résumé!F29,0)</f>
        <v>28</v>
      </c>
      <c r="D18" s="11" t="s">
        <v>1403</v>
      </c>
      <c r="E18" s="947">
        <f>IF(résumé!E10="heures (h)",1,IF('Calcul des machines'!C4=2,1/résumé!D10,0))</f>
        <v>0.7042253521126761</v>
      </c>
      <c r="F18" s="11" t="s">
        <v>1405</v>
      </c>
      <c r="G18" s="6"/>
      <c r="H18" s="6"/>
      <c r="I18" s="6"/>
      <c r="J18" s="6"/>
      <c r="K18" s="6"/>
    </row>
    <row r="19" spans="1:11" ht="12.75">
      <c r="A19" s="6"/>
      <c r="B19" s="11" t="s">
        <v>1418</v>
      </c>
      <c r="C19" s="947">
        <f>'Calcul des machines'!G50</f>
        <v>17.298000000000002</v>
      </c>
      <c r="D19" s="11" t="s">
        <v>1403</v>
      </c>
      <c r="E19" s="947">
        <f>E18</f>
        <v>0.7042253521126761</v>
      </c>
      <c r="F19" s="11" t="s">
        <v>1405</v>
      </c>
      <c r="G19" s="6"/>
      <c r="H19" s="6"/>
      <c r="I19" s="6"/>
      <c r="J19" s="6"/>
      <c r="K19" s="6"/>
    </row>
    <row r="20" spans="1:11" ht="13.5" thickBot="1">
      <c r="A20" s="6"/>
      <c r="B20" s="11" t="s">
        <v>1419</v>
      </c>
      <c r="C20" s="947">
        <f>IF('Calcul des machines'!C4=2,'Calcul des machines'!G116,0)+C21</f>
        <v>53.5</v>
      </c>
      <c r="D20" s="11" t="s">
        <v>1404</v>
      </c>
      <c r="E20" s="234" t="str">
        <f>IF('Calcul des machines'!C4=2,'Calcul des machines'!C78,'Calcul des machines'!C12)</f>
        <v>hectares</v>
      </c>
      <c r="F20" s="11" t="s">
        <v>1406</v>
      </c>
      <c r="G20" s="700" t="s">
        <v>1408</v>
      </c>
      <c r="H20" s="948">
        <f>C24/(C22-C29)</f>
        <v>24.663120567375888</v>
      </c>
      <c r="I20" s="6" t="str">
        <f>E20</f>
        <v>hectares</v>
      </c>
      <c r="K20" s="6"/>
    </row>
    <row r="21" spans="1:11" ht="13.5" thickTop="1">
      <c r="A21" s="6"/>
      <c r="B21" s="954" t="s">
        <v>1458</v>
      </c>
      <c r="C21" s="730">
        <v>40</v>
      </c>
      <c r="D21" s="11" t="s">
        <v>1459</v>
      </c>
      <c r="E21" s="6"/>
      <c r="F21" s="6"/>
      <c r="G21" s="951" t="s">
        <v>1413</v>
      </c>
      <c r="H21" s="6"/>
      <c r="I21" s="6"/>
      <c r="K21" s="6"/>
    </row>
    <row r="22" spans="1:10" ht="12.75">
      <c r="A22" s="6"/>
      <c r="B22" s="700" t="s">
        <v>1416</v>
      </c>
      <c r="C22" s="730">
        <v>170</v>
      </c>
      <c r="D22" s="953"/>
      <c r="E22" s="953"/>
      <c r="F22" s="953"/>
      <c r="G22" s="953"/>
      <c r="H22" s="953"/>
      <c r="I22" s="953"/>
      <c r="J22" s="6"/>
    </row>
    <row r="23" spans="1:11" ht="12.75">
      <c r="A23" s="11" t="s">
        <v>1407</v>
      </c>
      <c r="B23" s="6" t="str">
        <f>E20</f>
        <v>hectares</v>
      </c>
      <c r="C23" s="730">
        <v>10</v>
      </c>
      <c r="D23" s="730">
        <v>15</v>
      </c>
      <c r="E23" s="730">
        <v>20</v>
      </c>
      <c r="F23" s="730">
        <v>25</v>
      </c>
      <c r="G23" s="730">
        <v>30</v>
      </c>
      <c r="H23" s="730">
        <v>35</v>
      </c>
      <c r="I23" s="730">
        <v>40</v>
      </c>
      <c r="J23" s="6"/>
      <c r="K23" s="6"/>
    </row>
    <row r="24" spans="1:11" ht="12.75">
      <c r="A24" s="6"/>
      <c r="B24" s="11" t="s">
        <v>1414</v>
      </c>
      <c r="C24" s="949">
        <f>IF('Calcul des machines'!$C$4=2,'Calcul des machines'!$F$111,'Calcul des machines'!$F$45)</f>
        <v>2086.5</v>
      </c>
      <c r="D24" s="949">
        <f aca="true" t="shared" si="0" ref="D24:I24">C24</f>
        <v>2086.5</v>
      </c>
      <c r="E24" s="949">
        <f t="shared" si="0"/>
        <v>2086.5</v>
      </c>
      <c r="F24" s="949">
        <f t="shared" si="0"/>
        <v>2086.5</v>
      </c>
      <c r="G24" s="949">
        <f t="shared" si="0"/>
        <v>2086.5</v>
      </c>
      <c r="H24" s="949">
        <f t="shared" si="0"/>
        <v>2086.5</v>
      </c>
      <c r="I24" s="949">
        <f t="shared" si="0"/>
        <v>2086.5</v>
      </c>
      <c r="J24" s="6"/>
      <c r="K24" s="6"/>
    </row>
    <row r="25" spans="1:11" ht="12.75">
      <c r="A25" s="6"/>
      <c r="B25" s="11" t="s">
        <v>1415</v>
      </c>
      <c r="C25" s="950">
        <f>IF('Calcul des machines'!$C$4=2,C23*($C$20+$C$19*$E$18+$C$18*$E$18),$C$19*C23)</f>
        <v>854</v>
      </c>
      <c r="D25" s="950">
        <f>IF('Calcul des machines'!$C$4=2,D23*($C$20+$C$19*$E$18+$C$18*$E$18),$C$19*D23)</f>
        <v>1281</v>
      </c>
      <c r="E25" s="950">
        <f>IF('Calcul des machines'!$C$4=2,E23*($C$20+$C$19*$E$18+$C$18*$E$18),$C$19*E23)</f>
        <v>1708</v>
      </c>
      <c r="F25" s="950">
        <f>IF('Calcul des machines'!$C$4=2,F23*($C$20+$C$19*$E$18+$C$18*$E$18),$C$19*F23)</f>
        <v>2135</v>
      </c>
      <c r="G25" s="950">
        <f>IF('Calcul des machines'!$C$4=2,G23*($C$20+$C$19*$E$18+$C$18*$E$18),$C$19*G23)</f>
        <v>2562</v>
      </c>
      <c r="H25" s="950">
        <f>IF('Calcul des machines'!$C$4=2,H23*($C$20+$C$19*$E$18+$C$18*$E$18),$C$19*H23)</f>
        <v>2989</v>
      </c>
      <c r="I25" s="950">
        <f>IF('Calcul des machines'!$C$4=2,I23*($C$20+$C$19*$E$18+$C$18*$E$18),$C$19*I23)</f>
        <v>3416</v>
      </c>
      <c r="J25" s="6"/>
      <c r="K25" s="6"/>
    </row>
    <row r="26" spans="1:11" ht="12.75">
      <c r="A26" s="6"/>
      <c r="B26" s="11" t="s">
        <v>1420</v>
      </c>
      <c r="C26" s="741">
        <f aca="true" t="shared" si="1" ref="C26:I26">C23*$C$22</f>
        <v>1700</v>
      </c>
      <c r="D26" s="741">
        <f t="shared" si="1"/>
        <v>2550</v>
      </c>
      <c r="E26" s="741">
        <f t="shared" si="1"/>
        <v>3400</v>
      </c>
      <c r="F26" s="741">
        <f t="shared" si="1"/>
        <v>4250</v>
      </c>
      <c r="G26" s="741">
        <f t="shared" si="1"/>
        <v>5100</v>
      </c>
      <c r="H26" s="741">
        <f t="shared" si="1"/>
        <v>5950</v>
      </c>
      <c r="I26" s="741">
        <f t="shared" si="1"/>
        <v>6800</v>
      </c>
      <c r="J26" s="6"/>
      <c r="K26" s="6"/>
    </row>
    <row r="27" spans="1:11" ht="12.75">
      <c r="A27" s="6"/>
      <c r="B27" s="6"/>
      <c r="J27" s="6"/>
      <c r="K27" s="6"/>
    </row>
    <row r="28" spans="1:11" ht="12.75">
      <c r="A28" s="6"/>
      <c r="B28" s="700" t="s">
        <v>1421</v>
      </c>
      <c r="C28" s="950">
        <f>(C24+C25)/C23</f>
        <v>294.05</v>
      </c>
      <c r="D28" s="950">
        <f aca="true" t="shared" si="2" ref="D28:I28">(D24+D25)/D23</f>
        <v>224.5</v>
      </c>
      <c r="E28" s="950">
        <f t="shared" si="2"/>
        <v>189.725</v>
      </c>
      <c r="F28" s="950">
        <f t="shared" si="2"/>
        <v>168.86</v>
      </c>
      <c r="G28" s="950">
        <f t="shared" si="2"/>
        <v>154.95</v>
      </c>
      <c r="H28" s="950">
        <f t="shared" si="2"/>
        <v>145.0142857142857</v>
      </c>
      <c r="I28" s="950">
        <f t="shared" si="2"/>
        <v>137.5625</v>
      </c>
      <c r="J28" s="6"/>
      <c r="K28" s="6"/>
    </row>
    <row r="29" spans="1:11" ht="12.75">
      <c r="A29" s="6"/>
      <c r="B29" s="700" t="s">
        <v>1422</v>
      </c>
      <c r="C29" s="947">
        <f>IF('Calcul des machines'!C4=2,$C$20+$C$19*$E$18+$C$18*$E$18,C19)</f>
        <v>85.4</v>
      </c>
      <c r="D29" s="6"/>
      <c r="E29" s="6"/>
      <c r="F29" s="6"/>
      <c r="G29" s="6"/>
      <c r="H29" s="6"/>
      <c r="I29" s="6"/>
      <c r="J29" s="6"/>
      <c r="K29" s="6"/>
    </row>
    <row r="30" spans="1:11" ht="12.75">
      <c r="A30" s="6"/>
      <c r="B30" s="6"/>
      <c r="C30" s="6"/>
      <c r="D30" s="6"/>
      <c r="E30" s="6"/>
      <c r="F30" s="6"/>
      <c r="G30" s="6"/>
      <c r="H30" s="6"/>
      <c r="I30" s="6"/>
      <c r="J30" s="6"/>
      <c r="K30" s="6"/>
    </row>
    <row r="31" spans="1:11" ht="12.75">
      <c r="A31" s="6"/>
      <c r="B31" s="6"/>
      <c r="C31" s="6"/>
      <c r="D31" s="6"/>
      <c r="E31" s="6"/>
      <c r="F31" s="6"/>
      <c r="G31" s="6"/>
      <c r="H31" s="6"/>
      <c r="I31" s="6"/>
      <c r="J31" s="6"/>
      <c r="K31" s="6"/>
    </row>
    <row r="32" spans="1:11" ht="18">
      <c r="A32" s="6"/>
      <c r="B32" s="229" t="s">
        <v>1493</v>
      </c>
      <c r="C32" s="6"/>
      <c r="D32" s="6"/>
      <c r="E32" s="6"/>
      <c r="F32" s="6"/>
      <c r="G32" s="6"/>
      <c r="H32" s="6"/>
      <c r="I32" s="6"/>
      <c r="J32" s="6"/>
      <c r="K32" s="6"/>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3.5" thickBot="1">
      <c r="A61" s="6"/>
      <c r="B61" s="6"/>
      <c r="C61" s="6"/>
      <c r="D61" s="6"/>
      <c r="E61" s="6"/>
      <c r="F61" s="6"/>
      <c r="G61" s="6"/>
      <c r="H61" s="6"/>
      <c r="I61" s="6"/>
      <c r="J61" s="6"/>
      <c r="K61" s="6"/>
    </row>
    <row r="62" spans="1:11" ht="12.75">
      <c r="A62" s="6"/>
      <c r="B62" s="975" t="str">
        <f>B15</f>
        <v>Tracteur 65-74 kW  (88-101 ch)</v>
      </c>
      <c r="C62" s="322"/>
      <c r="D62" s="322"/>
      <c r="E62" s="981"/>
      <c r="F62" s="981"/>
      <c r="G62" s="981"/>
      <c r="H62" s="982"/>
      <c r="I62" s="6"/>
      <c r="J62" s="6"/>
      <c r="K62" s="6"/>
    </row>
    <row r="63" spans="1:11" ht="13.5" thickBot="1">
      <c r="A63" s="6"/>
      <c r="B63" s="983" t="s">
        <v>1495</v>
      </c>
      <c r="C63" s="984" t="str">
        <f>C16</f>
        <v>Herse à disques tractée, 3 m</v>
      </c>
      <c r="D63" s="985"/>
      <c r="E63" s="985"/>
      <c r="F63" s="985"/>
      <c r="G63" s="985"/>
      <c r="H63" s="986"/>
      <c r="I63" s="6"/>
      <c r="J63" s="6"/>
      <c r="K63" s="6"/>
    </row>
    <row r="64" spans="1:11" ht="12.75">
      <c r="A64" s="6"/>
      <c r="B64" s="6"/>
      <c r="C64" s="6"/>
      <c r="D64" s="6"/>
      <c r="E64" s="6"/>
      <c r="F64" s="6"/>
      <c r="G64" s="6"/>
      <c r="H64" s="6"/>
      <c r="I64" s="6"/>
      <c r="J64" s="6"/>
      <c r="K64" s="6"/>
    </row>
    <row r="65" spans="1:11" ht="12.75">
      <c r="A65" s="6"/>
      <c r="B65" s="6" t="s">
        <v>1491</v>
      </c>
      <c r="C65" s="972">
        <f aca="true" t="shared" si="3" ref="C65:I65">C24/C23</f>
        <v>208.65</v>
      </c>
      <c r="D65" s="972">
        <f t="shared" si="3"/>
        <v>139.1</v>
      </c>
      <c r="E65" s="972">
        <f t="shared" si="3"/>
        <v>104.325</v>
      </c>
      <c r="F65" s="972">
        <f t="shared" si="3"/>
        <v>83.46</v>
      </c>
      <c r="G65" s="972">
        <f t="shared" si="3"/>
        <v>69.55</v>
      </c>
      <c r="H65" s="972">
        <f t="shared" si="3"/>
        <v>59.614285714285714</v>
      </c>
      <c r="I65" s="972">
        <f t="shared" si="3"/>
        <v>52.1625</v>
      </c>
      <c r="J65" s="6"/>
      <c r="K65" s="6"/>
    </row>
    <row r="66" spans="1:11" ht="12.75">
      <c r="A66" s="6"/>
      <c r="B66" s="6" t="s">
        <v>1492</v>
      </c>
      <c r="C66" s="972">
        <f aca="true" t="shared" si="4" ref="C66:I66">C25/C23</f>
        <v>85.4</v>
      </c>
      <c r="D66" s="972">
        <f t="shared" si="4"/>
        <v>85.4</v>
      </c>
      <c r="E66" s="972">
        <f t="shared" si="4"/>
        <v>85.4</v>
      </c>
      <c r="F66" s="972">
        <f t="shared" si="4"/>
        <v>85.4</v>
      </c>
      <c r="G66" s="972">
        <f t="shared" si="4"/>
        <v>85.4</v>
      </c>
      <c r="H66" s="972">
        <f t="shared" si="4"/>
        <v>85.4</v>
      </c>
      <c r="I66" s="972">
        <f t="shared" si="4"/>
        <v>85.4</v>
      </c>
      <c r="J66" s="6"/>
      <c r="K66" s="6"/>
    </row>
    <row r="67" spans="1:11" ht="12.75">
      <c r="A67" s="6"/>
      <c r="B67" s="700" t="s">
        <v>1416</v>
      </c>
      <c r="C67" s="6">
        <f aca="true" t="shared" si="5" ref="C67:I67">$C22</f>
        <v>170</v>
      </c>
      <c r="D67" s="6">
        <f t="shared" si="5"/>
        <v>170</v>
      </c>
      <c r="E67" s="6">
        <f t="shared" si="5"/>
        <v>170</v>
      </c>
      <c r="F67" s="6">
        <f t="shared" si="5"/>
        <v>170</v>
      </c>
      <c r="G67" s="6">
        <f t="shared" si="5"/>
        <v>170</v>
      </c>
      <c r="H67" s="6">
        <f t="shared" si="5"/>
        <v>170</v>
      </c>
      <c r="I67" s="6">
        <f t="shared" si="5"/>
        <v>170</v>
      </c>
      <c r="J67" s="6"/>
      <c r="K67" s="6"/>
    </row>
    <row r="68" spans="1:11" ht="12.75">
      <c r="A68" s="6"/>
      <c r="B68" s="6"/>
      <c r="C68" s="6"/>
      <c r="D68" s="6"/>
      <c r="E68" s="6"/>
      <c r="F68" s="6"/>
      <c r="G68" s="6"/>
      <c r="H68" s="6"/>
      <c r="I68" s="6"/>
      <c r="J68" s="6"/>
      <c r="K68" s="6"/>
    </row>
    <row r="69" spans="1:11" ht="12.75">
      <c r="A69" s="6"/>
      <c r="B69" s="6"/>
      <c r="C69" s="6"/>
      <c r="D69" s="6"/>
      <c r="E69" s="6"/>
      <c r="F69" s="6"/>
      <c r="G69" s="6"/>
      <c r="H69" s="6"/>
      <c r="I69" s="6"/>
      <c r="J69" s="6"/>
      <c r="K69" s="6"/>
    </row>
    <row r="70" spans="1:11" ht="18">
      <c r="A70" s="6"/>
      <c r="B70" s="229" t="s">
        <v>1494</v>
      </c>
      <c r="C70" s="6"/>
      <c r="D70" s="6"/>
      <c r="E70" s="6"/>
      <c r="F70" s="6"/>
      <c r="G70" s="6"/>
      <c r="H70" s="6"/>
      <c r="I70" s="6"/>
      <c r="J70" s="6"/>
      <c r="K70" s="6"/>
    </row>
    <row r="71" spans="1:11" ht="12.75">
      <c r="A71" s="6"/>
      <c r="B71" s="6"/>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579" customFormat="1" ht="12.75"/>
    <row r="78" s="579" customFormat="1" ht="12.75"/>
    <row r="79" s="579" customFormat="1" ht="12.75"/>
    <row r="80" s="579" customFormat="1" ht="12.75"/>
    <row r="81" s="579" customFormat="1" ht="12.75"/>
    <row r="82" s="579" customFormat="1" ht="12.75"/>
    <row r="83" s="579" customFormat="1" ht="12.75"/>
    <row r="84" s="579" customFormat="1" ht="12.75"/>
    <row r="85" s="579" customFormat="1" ht="12.75"/>
    <row r="86" s="579" customFormat="1" ht="12.75"/>
    <row r="87" s="579" customFormat="1" ht="12.75"/>
    <row r="88" s="579" customFormat="1" ht="12.75"/>
    <row r="89" s="579" customFormat="1" ht="12.75"/>
    <row r="90" s="579" customFormat="1" ht="12.75"/>
    <row r="91" s="579" customFormat="1" ht="12.75"/>
    <row r="92" s="579" customFormat="1" ht="12.75"/>
    <row r="93" s="579" customFormat="1" ht="12.75"/>
    <row r="94" s="579" customFormat="1" ht="12.75"/>
    <row r="95" s="579" customFormat="1" ht="12.75"/>
    <row r="96" s="579" customFormat="1" ht="12.75"/>
    <row r="97" s="579" customFormat="1" ht="12.75"/>
    <row r="98" s="579" customFormat="1" ht="12.75"/>
    <row r="99" s="579" customFormat="1" ht="12.75"/>
    <row r="100" s="579" customFormat="1" ht="12.75"/>
    <row r="101" s="579" customFormat="1" ht="12.75"/>
    <row r="102" s="579" customFormat="1" ht="12.75"/>
    <row r="103" s="579" customFormat="1" ht="12.75"/>
    <row r="104" s="579" customFormat="1" ht="12.75"/>
    <row r="105" s="579" customFormat="1" ht="12.75"/>
    <row r="106" s="579" customFormat="1" ht="12.75"/>
    <row r="107" s="579" customFormat="1" ht="12.75"/>
    <row r="108" s="579" customFormat="1" ht="12.75"/>
    <row r="109" s="579" customFormat="1" ht="12.75"/>
    <row r="110" s="579" customFormat="1" ht="12.75"/>
  </sheetData>
  <sheetProtection password="CAF9" sheet="1"/>
  <hyperlinks>
    <hyperlink ref="G6:I6" location="Maschinen_berechnen!C4" display="zum Schalter hier klicken!"/>
    <hyperlink ref="G6:J6" location="'Calcul des machines'!C4" display="Cliquez ici pour faire votre choix !"/>
  </hyperlinks>
  <printOptions/>
  <pageMargins left="0.5118110236220472" right="0.31496062992125984" top="0.984251968503937" bottom="0.984251968503937" header="0.31496062992125984" footer="0.31496062992125984"/>
  <pageSetup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2015-09-16T08:59:47Z</cp:lastPrinted>
  <dcterms:created xsi:type="dcterms:W3CDTF">2008-10-02T06:58:36Z</dcterms:created>
  <dcterms:modified xsi:type="dcterms:W3CDTF">2016-09-06T10:16:02Z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